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60924\Desktop\"/>
    </mc:Choice>
  </mc:AlternateContent>
  <bookViews>
    <workbookView xWindow="0" yWindow="0" windowWidth="24000" windowHeight="9600" activeTab="1"/>
  </bookViews>
  <sheets>
    <sheet name="Capa" sheetId="1" r:id="rId1"/>
    <sheet name="BDI" sheetId="3" r:id="rId2"/>
    <sheet name="Sintetico" sheetId="4" r:id="rId3"/>
    <sheet name="Composição de Custos " sheetId="5" r:id="rId4"/>
    <sheet name="Resumo" sheetId="8" r:id="rId5"/>
    <sheet name="Cronograma" sheetId="7" r:id="rId6"/>
  </sheets>
  <definedNames>
    <definedName name="_0">#REF!</definedName>
    <definedName name="COTAÇÕES">#REF!</definedName>
    <definedName name="Excel_BuiltIn_Print_Titles" localSheetId="2">Sintetico!$A$1:$IV$11</definedName>
    <definedName name="TESTE">#REF!</definedName>
  </definedNames>
  <calcPr calcId="162913"/>
  <extLst>
    <ext uri="GoogleSheetsCustomDataVersion1">
      <go:sheetsCustomData xmlns:go="http://customooxmlschemas.google.com/" r:id="rId13" roundtripDataSignature="AMtx7miuiS1K8IeOF2J9CDVZp/xFYGl6xw=="/>
    </ext>
  </extLst>
</workbook>
</file>

<file path=xl/calcChain.xml><?xml version="1.0" encoding="utf-8"?>
<calcChain xmlns="http://schemas.openxmlformats.org/spreadsheetml/2006/main">
  <c r="G243" i="4" l="1"/>
  <c r="G244" i="4"/>
  <c r="G240" i="4"/>
  <c r="G241" i="4"/>
  <c r="G242" i="4"/>
  <c r="G239" i="4"/>
  <c r="G207" i="4"/>
  <c r="G221" i="4"/>
  <c r="A75" i="8"/>
  <c r="B73" i="8"/>
  <c r="B72" i="8"/>
  <c r="B128" i="7" s="1"/>
  <c r="B71" i="8"/>
  <c r="B70" i="8"/>
  <c r="B69" i="8"/>
  <c r="B68" i="8"/>
  <c r="B67" i="8"/>
  <c r="B66" i="8"/>
  <c r="B65" i="8"/>
  <c r="B64" i="8"/>
  <c r="B112" i="7" s="1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A5" i="8"/>
  <c r="B130" i="7"/>
  <c r="B126" i="7"/>
  <c r="B124" i="7"/>
  <c r="B122" i="7"/>
  <c r="B120" i="7"/>
  <c r="B118" i="7"/>
  <c r="B116" i="7"/>
  <c r="B114" i="7"/>
  <c r="B110" i="7"/>
  <c r="B108" i="7"/>
  <c r="B106" i="7"/>
  <c r="B104" i="7"/>
  <c r="B102" i="7"/>
  <c r="B100" i="7"/>
  <c r="B98" i="7"/>
  <c r="B96" i="7"/>
  <c r="B94" i="7"/>
  <c r="B93" i="7"/>
  <c r="B91" i="7"/>
  <c r="B89" i="7"/>
  <c r="B87" i="7"/>
  <c r="B85" i="7"/>
  <c r="B83" i="7"/>
  <c r="B81" i="7"/>
  <c r="B79" i="7"/>
  <c r="B77" i="7"/>
  <c r="B75" i="7"/>
  <c r="B73" i="7"/>
  <c r="B71" i="7"/>
  <c r="B69" i="7"/>
  <c r="B67" i="7"/>
  <c r="B65" i="7"/>
  <c r="B63" i="7"/>
  <c r="B61" i="7"/>
  <c r="B60" i="7"/>
  <c r="B58" i="7"/>
  <c r="B56" i="7"/>
  <c r="B54" i="7"/>
  <c r="B52" i="7"/>
  <c r="B50" i="7"/>
  <c r="B48" i="7"/>
  <c r="B46" i="7"/>
  <c r="B45" i="7"/>
  <c r="B43" i="7"/>
  <c r="B41" i="7"/>
  <c r="B39" i="7"/>
  <c r="B37" i="7"/>
  <c r="B35" i="7"/>
  <c r="B33" i="7"/>
  <c r="B31" i="7"/>
  <c r="B30" i="7"/>
  <c r="B28" i="7"/>
  <c r="B26" i="7"/>
  <c r="B24" i="7"/>
  <c r="B22" i="7"/>
  <c r="B20" i="7"/>
  <c r="B18" i="7"/>
  <c r="B16" i="7"/>
  <c r="B14" i="7"/>
  <c r="B13" i="7"/>
  <c r="B11" i="7"/>
  <c r="B9" i="7"/>
  <c r="G968" i="5"/>
  <c r="G967" i="5"/>
  <c r="G966" i="5"/>
  <c r="G965" i="5"/>
  <c r="G961" i="5"/>
  <c r="G960" i="5"/>
  <c r="G959" i="5"/>
  <c r="G958" i="5"/>
  <c r="G954" i="5"/>
  <c r="G953" i="5"/>
  <c r="G952" i="5"/>
  <c r="G951" i="5"/>
  <c r="G950" i="5"/>
  <c r="G949" i="5"/>
  <c r="G948" i="5"/>
  <c r="G944" i="5"/>
  <c r="G943" i="5"/>
  <c r="G942" i="5"/>
  <c r="G941" i="5"/>
  <c r="G940" i="5"/>
  <c r="G939" i="5"/>
  <c r="G938" i="5"/>
  <c r="G934" i="5"/>
  <c r="G933" i="5"/>
  <c r="G932" i="5"/>
  <c r="G931" i="5"/>
  <c r="G930" i="5"/>
  <c r="G926" i="5"/>
  <c r="F927" i="5" s="1"/>
  <c r="G927" i="5" s="1"/>
  <c r="D925" i="5"/>
  <c r="A925" i="5"/>
  <c r="G922" i="5"/>
  <c r="G921" i="5"/>
  <c r="G920" i="5"/>
  <c r="G919" i="5"/>
  <c r="G918" i="5"/>
  <c r="G913" i="5"/>
  <c r="G912" i="5"/>
  <c r="G911" i="5"/>
  <c r="G910" i="5"/>
  <c r="G906" i="5"/>
  <c r="G905" i="5"/>
  <c r="G904" i="5"/>
  <c r="G903" i="5"/>
  <c r="G899" i="5"/>
  <c r="G898" i="5"/>
  <c r="G897" i="5"/>
  <c r="G893" i="5"/>
  <c r="G892" i="5"/>
  <c r="G891" i="5"/>
  <c r="G890" i="5"/>
  <c r="G886" i="5"/>
  <c r="G885" i="5"/>
  <c r="G884" i="5"/>
  <c r="G883" i="5"/>
  <c r="F887" i="5" s="1"/>
  <c r="G887" i="5" s="1"/>
  <c r="G879" i="5"/>
  <c r="G878" i="5"/>
  <c r="G877" i="5"/>
  <c r="G876" i="5"/>
  <c r="E875" i="5"/>
  <c r="G875" i="5" s="1"/>
  <c r="D874" i="5"/>
  <c r="E871" i="5"/>
  <c r="G871" i="5" s="1"/>
  <c r="E870" i="5"/>
  <c r="G870" i="5" s="1"/>
  <c r="F872" i="5" s="1"/>
  <c r="G872" i="5" s="1"/>
  <c r="D869" i="5"/>
  <c r="A869" i="5"/>
  <c r="G866" i="5"/>
  <c r="G865" i="5"/>
  <c r="G864" i="5"/>
  <c r="F867" i="5" s="1"/>
  <c r="G867" i="5" s="1"/>
  <c r="G863" i="5"/>
  <c r="G860" i="5"/>
  <c r="G859" i="5"/>
  <c r="F861" i="5" s="1"/>
  <c r="G861" i="5" s="1"/>
  <c r="G858" i="5"/>
  <c r="G854" i="5"/>
  <c r="G853" i="5"/>
  <c r="G852" i="5"/>
  <c r="G851" i="5"/>
  <c r="E850" i="5"/>
  <c r="G850" i="5" s="1"/>
  <c r="G846" i="5"/>
  <c r="G845" i="5"/>
  <c r="G844" i="5"/>
  <c r="E844" i="5"/>
  <c r="G843" i="5"/>
  <c r="G842" i="5"/>
  <c r="G838" i="5"/>
  <c r="G837" i="5"/>
  <c r="E836" i="5"/>
  <c r="G836" i="5" s="1"/>
  <c r="E835" i="5"/>
  <c r="G835" i="5" s="1"/>
  <c r="G834" i="5"/>
  <c r="G830" i="5"/>
  <c r="G829" i="5"/>
  <c r="F831" i="5" s="1"/>
  <c r="G831" i="5" s="1"/>
  <c r="G825" i="5"/>
  <c r="G824" i="5"/>
  <c r="G823" i="5"/>
  <c r="G822" i="5"/>
  <c r="G818" i="5"/>
  <c r="G817" i="5"/>
  <c r="G816" i="5"/>
  <c r="G812" i="5"/>
  <c r="G811" i="5"/>
  <c r="G810" i="5"/>
  <c r="G806" i="5"/>
  <c r="G805" i="5"/>
  <c r="G804" i="5"/>
  <c r="G803" i="5"/>
  <c r="G802" i="5"/>
  <c r="G798" i="5"/>
  <c r="G797" i="5"/>
  <c r="G793" i="5"/>
  <c r="G792" i="5"/>
  <c r="G788" i="5"/>
  <c r="G787" i="5"/>
  <c r="G786" i="5"/>
  <c r="G785" i="5"/>
  <c r="G784" i="5"/>
  <c r="G783" i="5"/>
  <c r="G782" i="5"/>
  <c r="G781" i="5"/>
  <c r="G780" i="5"/>
  <c r="G776" i="5"/>
  <c r="G775" i="5"/>
  <c r="G774" i="5"/>
  <c r="D773" i="5"/>
  <c r="A773" i="5"/>
  <c r="G769" i="5"/>
  <c r="G768" i="5"/>
  <c r="E767" i="5"/>
  <c r="G767" i="5" s="1"/>
  <c r="D766" i="5"/>
  <c r="A766" i="5"/>
  <c r="A765" i="5"/>
  <c r="G762" i="5"/>
  <c r="F763" i="5" s="1"/>
  <c r="G763" i="5" s="1"/>
  <c r="G758" i="5"/>
  <c r="G757" i="5"/>
  <c r="G756" i="5"/>
  <c r="G755" i="5"/>
  <c r="G754" i="5"/>
  <c r="G753" i="5"/>
  <c r="G749" i="5"/>
  <c r="G748" i="5"/>
  <c r="G747" i="5"/>
  <c r="G746" i="5"/>
  <c r="G742" i="5"/>
  <c r="G741" i="5"/>
  <c r="G740" i="5"/>
  <c r="G735" i="5"/>
  <c r="F737" i="5" s="1"/>
  <c r="G737" i="5" s="1"/>
  <c r="G730" i="5"/>
  <c r="G729" i="5"/>
  <c r="F732" i="5" s="1"/>
  <c r="G732" i="5" s="1"/>
  <c r="E725" i="5"/>
  <c r="G725" i="5" s="1"/>
  <c r="G724" i="5"/>
  <c r="E724" i="5"/>
  <c r="E723" i="5"/>
  <c r="G723" i="5" s="1"/>
  <c r="G722" i="5"/>
  <c r="E722" i="5"/>
  <c r="E721" i="5"/>
  <c r="G721" i="5" s="1"/>
  <c r="G720" i="5"/>
  <c r="G716" i="5"/>
  <c r="E716" i="5"/>
  <c r="E715" i="5"/>
  <c r="G715" i="5" s="1"/>
  <c r="E714" i="5"/>
  <c r="G714" i="5" s="1"/>
  <c r="E713" i="5"/>
  <c r="G713" i="5" s="1"/>
  <c r="E712" i="5"/>
  <c r="G712" i="5" s="1"/>
  <c r="G711" i="5"/>
  <c r="G707" i="5"/>
  <c r="G706" i="5"/>
  <c r="G705" i="5"/>
  <c r="G704" i="5"/>
  <c r="G703" i="5"/>
  <c r="G699" i="5"/>
  <c r="F700" i="5" s="1"/>
  <c r="G700" i="5" s="1"/>
  <c r="G695" i="5"/>
  <c r="G694" i="5"/>
  <c r="G693" i="5"/>
  <c r="G692" i="5"/>
  <c r="G688" i="5"/>
  <c r="G687" i="5"/>
  <c r="G686" i="5"/>
  <c r="G685" i="5"/>
  <c r="G684" i="5"/>
  <c r="G683" i="5"/>
  <c r="G682" i="5"/>
  <c r="A681" i="5"/>
  <c r="G678" i="5"/>
  <c r="G677" i="5"/>
  <c r="G676" i="5"/>
  <c r="G675" i="5"/>
  <c r="G674" i="5"/>
  <c r="G673" i="5"/>
  <c r="G672" i="5"/>
  <c r="G671" i="5"/>
  <c r="G667" i="5"/>
  <c r="G666" i="5"/>
  <c r="G665" i="5"/>
  <c r="G664" i="5"/>
  <c r="G660" i="5"/>
  <c r="G659" i="5"/>
  <c r="G658" i="5"/>
  <c r="G657" i="5"/>
  <c r="G653" i="5"/>
  <c r="F654" i="5" s="1"/>
  <c r="G654" i="5" s="1"/>
  <c r="D652" i="5"/>
  <c r="A652" i="5"/>
  <c r="G649" i="5"/>
  <c r="G648" i="5"/>
  <c r="G647" i="5"/>
  <c r="G646" i="5"/>
  <c r="G645" i="5"/>
  <c r="E644" i="5"/>
  <c r="G644" i="5" s="1"/>
  <c r="G643" i="5"/>
  <c r="E643" i="5"/>
  <c r="G642" i="5"/>
  <c r="G641" i="5"/>
  <c r="G640" i="5"/>
  <c r="D639" i="5"/>
  <c r="D810" i="4" s="1"/>
  <c r="A639" i="5"/>
  <c r="G636" i="5"/>
  <c r="G635" i="5"/>
  <c r="G634" i="5"/>
  <c r="G633" i="5"/>
  <c r="G632" i="5"/>
  <c r="G631" i="5"/>
  <c r="D630" i="5"/>
  <c r="A630" i="5"/>
  <c r="G627" i="5"/>
  <c r="G626" i="5"/>
  <c r="G625" i="5"/>
  <c r="G624" i="5"/>
  <c r="D623" i="5"/>
  <c r="A623" i="5"/>
  <c r="G620" i="5"/>
  <c r="G619" i="5"/>
  <c r="G618" i="5"/>
  <c r="G617" i="5"/>
  <c r="D616" i="5"/>
  <c r="C616" i="5"/>
  <c r="A616" i="5"/>
  <c r="G613" i="5"/>
  <c r="G612" i="5"/>
  <c r="G611" i="5"/>
  <c r="G610" i="5"/>
  <c r="D609" i="5"/>
  <c r="A609" i="5"/>
  <c r="G606" i="5"/>
  <c r="G605" i="5"/>
  <c r="F607" i="5" s="1"/>
  <c r="G607" i="5" s="1"/>
  <c r="G601" i="5"/>
  <c r="G600" i="5"/>
  <c r="G599" i="5"/>
  <c r="G598" i="5"/>
  <c r="G597" i="5"/>
  <c r="G593" i="5"/>
  <c r="G592" i="5"/>
  <c r="G591" i="5"/>
  <c r="G590" i="5"/>
  <c r="G589" i="5"/>
  <c r="G588" i="5"/>
  <c r="G587" i="5"/>
  <c r="G586" i="5"/>
  <c r="G585" i="5"/>
  <c r="G584" i="5"/>
  <c r="G580" i="5"/>
  <c r="G579" i="5"/>
  <c r="G578" i="5"/>
  <c r="G577" i="5"/>
  <c r="G576" i="5"/>
  <c r="G572" i="5"/>
  <c r="G571" i="5"/>
  <c r="G570" i="5"/>
  <c r="G569" i="5"/>
  <c r="G568" i="5"/>
  <c r="G567" i="5"/>
  <c r="G563" i="5"/>
  <c r="G562" i="5"/>
  <c r="G561" i="5"/>
  <c r="G557" i="5"/>
  <c r="G556" i="5"/>
  <c r="G555" i="5"/>
  <c r="G554" i="5"/>
  <c r="G550" i="5"/>
  <c r="G549" i="5"/>
  <c r="G548" i="5"/>
  <c r="G547" i="5"/>
  <c r="G543" i="5"/>
  <c r="G542" i="5"/>
  <c r="G541" i="5"/>
  <c r="G537" i="5"/>
  <c r="G536" i="5"/>
  <c r="G535" i="5"/>
  <c r="G531" i="5"/>
  <c r="G530" i="5"/>
  <c r="F527" i="5"/>
  <c r="G527" i="5" s="1"/>
  <c r="G526" i="5"/>
  <c r="G522" i="5"/>
  <c r="G521" i="5"/>
  <c r="G520" i="5"/>
  <c r="G516" i="5"/>
  <c r="G515" i="5"/>
  <c r="G514" i="5"/>
  <c r="G510" i="5"/>
  <c r="E510" i="5"/>
  <c r="G509" i="5"/>
  <c r="G508" i="5"/>
  <c r="G507" i="5"/>
  <c r="G503" i="5"/>
  <c r="F504" i="5" s="1"/>
  <c r="G504" i="5" s="1"/>
  <c r="G499" i="5"/>
  <c r="G498" i="5"/>
  <c r="G497" i="5"/>
  <c r="G496" i="5"/>
  <c r="G495" i="5"/>
  <c r="G494" i="5"/>
  <c r="G493" i="5"/>
  <c r="G489" i="5"/>
  <c r="G488" i="5"/>
  <c r="F485" i="5"/>
  <c r="G485" i="5" s="1"/>
  <c r="G484" i="5"/>
  <c r="G483" i="5"/>
  <c r="G478" i="5"/>
  <c r="G477" i="5"/>
  <c r="G476" i="5"/>
  <c r="G472" i="5"/>
  <c r="G471" i="5"/>
  <c r="G470" i="5"/>
  <c r="G469" i="5"/>
  <c r="G465" i="5"/>
  <c r="E465" i="5"/>
  <c r="G464" i="5"/>
  <c r="G463" i="5"/>
  <c r="G459" i="5"/>
  <c r="F460" i="5" s="1"/>
  <c r="G460" i="5" s="1"/>
  <c r="G455" i="5"/>
  <c r="G454" i="5"/>
  <c r="G453" i="5"/>
  <c r="G452" i="5"/>
  <c r="G451" i="5"/>
  <c r="F448" i="5"/>
  <c r="G448" i="5" s="1"/>
  <c r="G447" i="5"/>
  <c r="G443" i="5"/>
  <c r="G442" i="5"/>
  <c r="G441" i="5"/>
  <c r="G440" i="5"/>
  <c r="G439" i="5"/>
  <c r="G435" i="5"/>
  <c r="G434" i="5"/>
  <c r="G433" i="5"/>
  <c r="G432" i="5"/>
  <c r="G431" i="5"/>
  <c r="G430" i="5"/>
  <c r="G429" i="5"/>
  <c r="G425" i="5"/>
  <c r="E425" i="5"/>
  <c r="G424" i="5"/>
  <c r="E424" i="5"/>
  <c r="G423" i="5"/>
  <c r="E423" i="5"/>
  <c r="G419" i="5"/>
  <c r="G418" i="5"/>
  <c r="G417" i="5"/>
  <c r="G416" i="5"/>
  <c r="G412" i="5"/>
  <c r="G411" i="5"/>
  <c r="G410" i="5"/>
  <c r="G409" i="5"/>
  <c r="G408" i="5"/>
  <c r="G404" i="5"/>
  <c r="G403" i="5"/>
  <c r="G402" i="5"/>
  <c r="G401" i="5"/>
  <c r="G400" i="5"/>
  <c r="G399" i="5"/>
  <c r="G395" i="5"/>
  <c r="G394" i="5"/>
  <c r="G393" i="5"/>
  <c r="G392" i="5"/>
  <c r="G391" i="5"/>
  <c r="G390" i="5"/>
  <c r="E389" i="5"/>
  <c r="G389" i="5" s="1"/>
  <c r="G385" i="5"/>
  <c r="G384" i="5"/>
  <c r="G380" i="5"/>
  <c r="G379" i="5"/>
  <c r="G378" i="5"/>
  <c r="G377" i="5"/>
  <c r="G373" i="5"/>
  <c r="G372" i="5"/>
  <c r="G371" i="5"/>
  <c r="G370" i="5"/>
  <c r="G369" i="5"/>
  <c r="G365" i="5"/>
  <c r="G364" i="5"/>
  <c r="G363" i="5"/>
  <c r="G359" i="5"/>
  <c r="G358" i="5"/>
  <c r="G357" i="5"/>
  <c r="G356" i="5"/>
  <c r="G355" i="5"/>
  <c r="G354" i="5"/>
  <c r="G350" i="5"/>
  <c r="G349" i="5"/>
  <c r="G348" i="5"/>
  <c r="G347" i="5"/>
  <c r="G346" i="5"/>
  <c r="G342" i="5"/>
  <c r="G341" i="5"/>
  <c r="G340" i="5"/>
  <c r="G339" i="5"/>
  <c r="G338" i="5"/>
  <c r="G334" i="5"/>
  <c r="G333" i="5"/>
  <c r="G332" i="5"/>
  <c r="G331" i="5"/>
  <c r="G330" i="5"/>
  <c r="G326" i="5"/>
  <c r="G325" i="5"/>
  <c r="G324" i="5"/>
  <c r="G323" i="5"/>
  <c r="G322" i="5"/>
  <c r="G321" i="5"/>
  <c r="G320" i="5"/>
  <c r="G316" i="5"/>
  <c r="G315" i="5"/>
  <c r="G314" i="5"/>
  <c r="G313" i="5"/>
  <c r="G312" i="5"/>
  <c r="G309" i="5"/>
  <c r="E307" i="5"/>
  <c r="G307" i="5" s="1"/>
  <c r="E306" i="5"/>
  <c r="G306" i="5" s="1"/>
  <c r="E305" i="5"/>
  <c r="E308" i="5" s="1"/>
  <c r="G308" i="5" s="1"/>
  <c r="G304" i="5"/>
  <c r="G303" i="5"/>
  <c r="G299" i="5"/>
  <c r="E297" i="5"/>
  <c r="G297" i="5" s="1"/>
  <c r="E296" i="5"/>
  <c r="G296" i="5" s="1"/>
  <c r="E295" i="5"/>
  <c r="G295" i="5" s="1"/>
  <c r="E294" i="5"/>
  <c r="E298" i="5" s="1"/>
  <c r="G298" i="5" s="1"/>
  <c r="G293" i="5"/>
  <c r="G292" i="5"/>
  <c r="G288" i="5"/>
  <c r="G287" i="5"/>
  <c r="G286" i="5"/>
  <c r="G282" i="5"/>
  <c r="G281" i="5"/>
  <c r="G280" i="5"/>
  <c r="G276" i="5"/>
  <c r="G275" i="5"/>
  <c r="E274" i="5"/>
  <c r="G270" i="5"/>
  <c r="G269" i="5"/>
  <c r="G265" i="5"/>
  <c r="G264" i="5"/>
  <c r="G263" i="5"/>
  <c r="G262" i="5"/>
  <c r="G261" i="5"/>
  <c r="G260" i="5"/>
  <c r="G259" i="5"/>
  <c r="G255" i="5"/>
  <c r="G254" i="5"/>
  <c r="G253" i="5"/>
  <c r="G252" i="5"/>
  <c r="G251" i="5"/>
  <c r="G247" i="5"/>
  <c r="G246" i="5"/>
  <c r="G245" i="5"/>
  <c r="E244" i="5"/>
  <c r="D244" i="5"/>
  <c r="G240" i="5"/>
  <c r="E238" i="5"/>
  <c r="G234" i="5"/>
  <c r="G233" i="5"/>
  <c r="G232" i="5"/>
  <c r="D232" i="5"/>
  <c r="G231" i="5"/>
  <c r="G230" i="5"/>
  <c r="G229" i="5"/>
  <c r="G239" i="5"/>
  <c r="G227" i="5"/>
  <c r="G223" i="5"/>
  <c r="G222" i="5"/>
  <c r="E221" i="5"/>
  <c r="G217" i="5"/>
  <c r="G216" i="5"/>
  <c r="G215" i="5"/>
  <c r="G211" i="5"/>
  <c r="G210" i="5"/>
  <c r="G209" i="5"/>
  <c r="G208" i="5"/>
  <c r="G204" i="5"/>
  <c r="G203" i="5"/>
  <c r="G202" i="5"/>
  <c r="G201" i="5"/>
  <c r="G200" i="5"/>
  <c r="G196" i="5"/>
  <c r="F197" i="5" s="1"/>
  <c r="G197" i="5" s="1"/>
  <c r="D195" i="5"/>
  <c r="A195" i="5"/>
  <c r="G192" i="5"/>
  <c r="G191" i="5"/>
  <c r="G190" i="5"/>
  <c r="G189" i="5"/>
  <c r="G188" i="5"/>
  <c r="G187" i="5"/>
  <c r="G183" i="5"/>
  <c r="G182" i="5"/>
  <c r="G181" i="5"/>
  <c r="G180" i="5"/>
  <c r="F177" i="5"/>
  <c r="G177" i="5" s="1"/>
  <c r="G176" i="5"/>
  <c r="G175" i="5"/>
  <c r="G171" i="5"/>
  <c r="G170" i="5"/>
  <c r="G169" i="5"/>
  <c r="G168" i="5"/>
  <c r="G167" i="5"/>
  <c r="G163" i="5"/>
  <c r="G162" i="5"/>
  <c r="G161" i="5"/>
  <c r="G160" i="5"/>
  <c r="G159" i="5"/>
  <c r="F164" i="5" s="1"/>
  <c r="G164" i="5" s="1"/>
  <c r="G155" i="5"/>
  <c r="G154" i="5"/>
  <c r="G153" i="5"/>
  <c r="G152" i="5"/>
  <c r="G151" i="5"/>
  <c r="G147" i="5"/>
  <c r="G146" i="5"/>
  <c r="G148" i="5" s="1"/>
  <c r="G142" i="5"/>
  <c r="G141" i="5"/>
  <c r="G140" i="5"/>
  <c r="G139" i="5"/>
  <c r="G138" i="5"/>
  <c r="G137" i="5"/>
  <c r="G136" i="5"/>
  <c r="G135" i="5"/>
  <c r="F132" i="5"/>
  <c r="G131" i="5"/>
  <c r="G132" i="5" s="1"/>
  <c r="G706" i="4" s="1"/>
  <c r="G127" i="5"/>
  <c r="F128" i="5" s="1"/>
  <c r="G123" i="5"/>
  <c r="F124" i="5" s="1"/>
  <c r="G119" i="5"/>
  <c r="G118" i="5"/>
  <c r="G114" i="5"/>
  <c r="G113" i="5"/>
  <c r="G109" i="5"/>
  <c r="G108" i="5"/>
  <c r="G104" i="5"/>
  <c r="G103" i="5"/>
  <c r="G102" i="5"/>
  <c r="G101" i="5"/>
  <c r="G100" i="5"/>
  <c r="G96" i="5"/>
  <c r="G95" i="5"/>
  <c r="E94" i="5"/>
  <c r="G94" i="5" s="1"/>
  <c r="G93" i="5"/>
  <c r="G91" i="5"/>
  <c r="G87" i="5"/>
  <c r="G86" i="5"/>
  <c r="E85" i="5"/>
  <c r="G85" i="5" s="1"/>
  <c r="G84" i="5"/>
  <c r="G83" i="5"/>
  <c r="G92" i="5"/>
  <c r="G82" i="5"/>
  <c r="G81" i="5"/>
  <c r="G80" i="5"/>
  <c r="G76" i="5"/>
  <c r="G75" i="5"/>
  <c r="G74" i="5"/>
  <c r="G73" i="5"/>
  <c r="G69" i="5"/>
  <c r="G68" i="5"/>
  <c r="G67" i="5"/>
  <c r="G66" i="5"/>
  <c r="G65" i="5"/>
  <c r="G64" i="5"/>
  <c r="G63" i="5"/>
  <c r="G62" i="5"/>
  <c r="G61" i="5"/>
  <c r="G57" i="5"/>
  <c r="G56" i="5"/>
  <c r="G55" i="5"/>
  <c r="G54" i="5"/>
  <c r="G53" i="5"/>
  <c r="G49" i="5"/>
  <c r="G48" i="5"/>
  <c r="G47" i="5"/>
  <c r="G46" i="5"/>
  <c r="G45" i="5"/>
  <c r="G41" i="5"/>
  <c r="G40" i="5"/>
  <c r="G39" i="5"/>
  <c r="G35" i="5"/>
  <c r="G34" i="5"/>
  <c r="F36" i="5" s="1"/>
  <c r="G36" i="5" s="1"/>
  <c r="G30" i="5"/>
  <c r="G29" i="5"/>
  <c r="G28" i="5"/>
  <c r="G24" i="5"/>
  <c r="G23" i="5"/>
  <c r="G22" i="5"/>
  <c r="G21" i="5"/>
  <c r="G20" i="5"/>
  <c r="G19" i="5"/>
  <c r="G18" i="5"/>
  <c r="E18" i="5"/>
  <c r="G17" i="5"/>
  <c r="G16" i="5"/>
  <c r="G15" i="5"/>
  <c r="G14" i="5"/>
  <c r="D9" i="5"/>
  <c r="B1138" i="4"/>
  <c r="B1137" i="4"/>
  <c r="B1136" i="4"/>
  <c r="G1120" i="4"/>
  <c r="E1119" i="4"/>
  <c r="G1119" i="4" s="1"/>
  <c r="G1118" i="4"/>
  <c r="G1117" i="4"/>
  <c r="D1116" i="4"/>
  <c r="E1115" i="4"/>
  <c r="G1115" i="4" s="1"/>
  <c r="D1115" i="4"/>
  <c r="E1114" i="4"/>
  <c r="D1114" i="4"/>
  <c r="G1111" i="4"/>
  <c r="G1109" i="4"/>
  <c r="G1108" i="4"/>
  <c r="G1107" i="4"/>
  <c r="G1106" i="4"/>
  <c r="G1105" i="4"/>
  <c r="G1104" i="4"/>
  <c r="G1103" i="4"/>
  <c r="G1102" i="4"/>
  <c r="G1101" i="4"/>
  <c r="G1100" i="4"/>
  <c r="D1099" i="4"/>
  <c r="G1098" i="4"/>
  <c r="G1097" i="4"/>
  <c r="G1096" i="4"/>
  <c r="D1096" i="4"/>
  <c r="B1096" i="4"/>
  <c r="D1095" i="4"/>
  <c r="G1094" i="4"/>
  <c r="G1093" i="4"/>
  <c r="G1092" i="4"/>
  <c r="G1091" i="4"/>
  <c r="G1090" i="4"/>
  <c r="H1089" i="4"/>
  <c r="G1089" i="4"/>
  <c r="B1089" i="4"/>
  <c r="G1088" i="4"/>
  <c r="G1085" i="4"/>
  <c r="G1084" i="4"/>
  <c r="G1083" i="4"/>
  <c r="G1082" i="4"/>
  <c r="G1081" i="4"/>
  <c r="G1080" i="4"/>
  <c r="G1079" i="4"/>
  <c r="E1079" i="4"/>
  <c r="G1078" i="4"/>
  <c r="G1077" i="4"/>
  <c r="G1076" i="4"/>
  <c r="G1075" i="4"/>
  <c r="G1074" i="4"/>
  <c r="G1073" i="4"/>
  <c r="G1072" i="4"/>
  <c r="G1071" i="4"/>
  <c r="G1070" i="4"/>
  <c r="G1069" i="4"/>
  <c r="E1069" i="4"/>
  <c r="G1068" i="4"/>
  <c r="G1067" i="4"/>
  <c r="G1066" i="4"/>
  <c r="G1065" i="4"/>
  <c r="B1065" i="4"/>
  <c r="G1064" i="4"/>
  <c r="G1063" i="4"/>
  <c r="G1060" i="4"/>
  <c r="G1059" i="4"/>
  <c r="G1058" i="4"/>
  <c r="G1057" i="4"/>
  <c r="G1056" i="4"/>
  <c r="G1055" i="4"/>
  <c r="G1054" i="4"/>
  <c r="G1053" i="4"/>
  <c r="E1052" i="4"/>
  <c r="G1052" i="4" s="1"/>
  <c r="G1051" i="4"/>
  <c r="G1050" i="4"/>
  <c r="G1049" i="4"/>
  <c r="H1048" i="4"/>
  <c r="G1048" i="4"/>
  <c r="B1048" i="4"/>
  <c r="G1047" i="4"/>
  <c r="E1047" i="4"/>
  <c r="B1047" i="4"/>
  <c r="G1044" i="4"/>
  <c r="G1043" i="4"/>
  <c r="G1042" i="4"/>
  <c r="G1041" i="4"/>
  <c r="G1040" i="4"/>
  <c r="E1039" i="4"/>
  <c r="G1039" i="4" s="1"/>
  <c r="G1038" i="4"/>
  <c r="G1037" i="4"/>
  <c r="E1037" i="4"/>
  <c r="D1037" i="4"/>
  <c r="B1037" i="4"/>
  <c r="G1036" i="4"/>
  <c r="B1036" i="4"/>
  <c r="G1032" i="4"/>
  <c r="G1031" i="4"/>
  <c r="G1030" i="4"/>
  <c r="D1030" i="4"/>
  <c r="G1029" i="4"/>
  <c r="D1029" i="4"/>
  <c r="G1028" i="4"/>
  <c r="D1028" i="4"/>
  <c r="E1027" i="4"/>
  <c r="G1027" i="4" s="1"/>
  <c r="D1026" i="4"/>
  <c r="D1025" i="4"/>
  <c r="D1024" i="4"/>
  <c r="G1023" i="4"/>
  <c r="D1023" i="4"/>
  <c r="D1022" i="4"/>
  <c r="D1021" i="4"/>
  <c r="D1020" i="4"/>
  <c r="G1019" i="4"/>
  <c r="D1019" i="4"/>
  <c r="G1018" i="4"/>
  <c r="D1018" i="4"/>
  <c r="E1017" i="4"/>
  <c r="G1017" i="4" s="1"/>
  <c r="D1017" i="4"/>
  <c r="E1016" i="4"/>
  <c r="G1016" i="4" s="1"/>
  <c r="D1016" i="4"/>
  <c r="D1015" i="4"/>
  <c r="G1014" i="4"/>
  <c r="G1011" i="4"/>
  <c r="D1011" i="4"/>
  <c r="D1033" i="4" s="1"/>
  <c r="B1011" i="4"/>
  <c r="G1010" i="4"/>
  <c r="G1009" i="4"/>
  <c r="G1008" i="4"/>
  <c r="D1008" i="4"/>
  <c r="G1007" i="4"/>
  <c r="D1007" i="4"/>
  <c r="G1006" i="4"/>
  <c r="D1006" i="4"/>
  <c r="E1005" i="4"/>
  <c r="G1005" i="4" s="1"/>
  <c r="D1004" i="4"/>
  <c r="D1003" i="4"/>
  <c r="D1002" i="4"/>
  <c r="G1001" i="4"/>
  <c r="D1001" i="4"/>
  <c r="D1000" i="4"/>
  <c r="G999" i="4"/>
  <c r="D999" i="4"/>
  <c r="G998" i="4"/>
  <c r="D998" i="4"/>
  <c r="D997" i="4"/>
  <c r="G996" i="4"/>
  <c r="D995" i="4"/>
  <c r="B995" i="4"/>
  <c r="G992" i="4"/>
  <c r="G991" i="4"/>
  <c r="G990" i="4"/>
  <c r="G989" i="4"/>
  <c r="D989" i="4"/>
  <c r="G988" i="4"/>
  <c r="D988" i="4"/>
  <c r="G987" i="4"/>
  <c r="D987" i="4"/>
  <c r="E986" i="4"/>
  <c r="G986" i="4" s="1"/>
  <c r="G985" i="4"/>
  <c r="D985" i="4"/>
  <c r="D984" i="4"/>
  <c r="D983" i="4"/>
  <c r="G982" i="4"/>
  <c r="D982" i="4"/>
  <c r="D981" i="4"/>
  <c r="G980" i="4"/>
  <c r="D980" i="4"/>
  <c r="D979" i="4"/>
  <c r="B979" i="4"/>
  <c r="D978" i="4"/>
  <c r="G977" i="4"/>
  <c r="D977" i="4"/>
  <c r="B977" i="4"/>
  <c r="G976" i="4"/>
  <c r="D976" i="4"/>
  <c r="G975" i="4"/>
  <c r="E975" i="4"/>
  <c r="D975" i="4"/>
  <c r="G974" i="4"/>
  <c r="E974" i="4"/>
  <c r="D974" i="4"/>
  <c r="D973" i="4"/>
  <c r="G972" i="4"/>
  <c r="D971" i="4"/>
  <c r="E970" i="4"/>
  <c r="G970" i="4" s="1"/>
  <c r="E969" i="4"/>
  <c r="G969" i="4" s="1"/>
  <c r="G968" i="4"/>
  <c r="D968" i="4"/>
  <c r="D967" i="4"/>
  <c r="B967" i="4"/>
  <c r="G964" i="4"/>
  <c r="B964" i="4"/>
  <c r="G963" i="4"/>
  <c r="G962" i="4"/>
  <c r="G961" i="4"/>
  <c r="D961" i="4"/>
  <c r="G960" i="4"/>
  <c r="D960" i="4"/>
  <c r="G959" i="4"/>
  <c r="D959" i="4"/>
  <c r="E958" i="4"/>
  <c r="G958" i="4" s="1"/>
  <c r="G957" i="4"/>
  <c r="D957" i="4"/>
  <c r="D956" i="4"/>
  <c r="D955" i="4"/>
  <c r="G954" i="4"/>
  <c r="D954" i="4"/>
  <c r="D953" i="4"/>
  <c r="G952" i="4"/>
  <c r="D952" i="4"/>
  <c r="G951" i="4"/>
  <c r="D951" i="4"/>
  <c r="G950" i="4"/>
  <c r="D950" i="4"/>
  <c r="D949" i="4"/>
  <c r="B949" i="4"/>
  <c r="D948" i="4"/>
  <c r="G947" i="4"/>
  <c r="D946" i="4"/>
  <c r="E945" i="4"/>
  <c r="G945" i="4" s="1"/>
  <c r="G944" i="4"/>
  <c r="G943" i="4"/>
  <c r="D943" i="4"/>
  <c r="G939" i="4"/>
  <c r="G938" i="4"/>
  <c r="G937" i="4"/>
  <c r="D937" i="4"/>
  <c r="G936" i="4"/>
  <c r="D936" i="4"/>
  <c r="G935" i="4"/>
  <c r="D935" i="4"/>
  <c r="E934" i="4"/>
  <c r="G934" i="4" s="1"/>
  <c r="D933" i="4"/>
  <c r="D932" i="4"/>
  <c r="D931" i="4"/>
  <c r="G930" i="4"/>
  <c r="D930" i="4"/>
  <c r="D929" i="4"/>
  <c r="D928" i="4"/>
  <c r="B928" i="4"/>
  <c r="D927" i="4"/>
  <c r="G926" i="4"/>
  <c r="D926" i="4"/>
  <c r="B926" i="4"/>
  <c r="G925" i="4"/>
  <c r="D925" i="4"/>
  <c r="G924" i="4"/>
  <c r="D924" i="4"/>
  <c r="G923" i="4"/>
  <c r="E923" i="4"/>
  <c r="D923" i="4"/>
  <c r="G922" i="4"/>
  <c r="E922" i="4"/>
  <c r="D922" i="4"/>
  <c r="D921" i="4"/>
  <c r="G920" i="4"/>
  <c r="G915" i="4"/>
  <c r="G914" i="4"/>
  <c r="G913" i="4"/>
  <c r="G912" i="4"/>
  <c r="D912" i="4"/>
  <c r="G911" i="4"/>
  <c r="D911" i="4"/>
  <c r="G910" i="4"/>
  <c r="D910" i="4"/>
  <c r="E909" i="4"/>
  <c r="G909" i="4" s="1"/>
  <c r="D908" i="4"/>
  <c r="D907" i="4"/>
  <c r="D906" i="4"/>
  <c r="G905" i="4"/>
  <c r="D905" i="4"/>
  <c r="G904" i="4"/>
  <c r="D903" i="4"/>
  <c r="G902" i="4"/>
  <c r="D902" i="4"/>
  <c r="G901" i="4"/>
  <c r="D901" i="4"/>
  <c r="G900" i="4"/>
  <c r="D900" i="4"/>
  <c r="B900" i="4"/>
  <c r="D899" i="4"/>
  <c r="G898" i="4"/>
  <c r="D897" i="4"/>
  <c r="D919" i="4" s="1"/>
  <c r="B897" i="4"/>
  <c r="B919" i="4" s="1"/>
  <c r="D894" i="4"/>
  <c r="D916" i="4" s="1"/>
  <c r="D940" i="4" s="1"/>
  <c r="B894" i="4"/>
  <c r="B916" i="4" s="1"/>
  <c r="B940" i="4" s="1"/>
  <c r="G893" i="4"/>
  <c r="G892" i="4"/>
  <c r="G891" i="4"/>
  <c r="G890" i="4"/>
  <c r="D890" i="4"/>
  <c r="G889" i="4"/>
  <c r="D889" i="4"/>
  <c r="G888" i="4"/>
  <c r="D888" i="4"/>
  <c r="E887" i="4"/>
  <c r="G887" i="4" s="1"/>
  <c r="G886" i="4"/>
  <c r="D886" i="4"/>
  <c r="D885" i="4"/>
  <c r="D884" i="4"/>
  <c r="G883" i="4"/>
  <c r="D883" i="4"/>
  <c r="D882" i="4"/>
  <c r="G881" i="4"/>
  <c r="D881" i="4"/>
  <c r="D880" i="4"/>
  <c r="B880" i="4"/>
  <c r="D879" i="4"/>
  <c r="G878" i="4"/>
  <c r="D878" i="4"/>
  <c r="G877" i="4"/>
  <c r="D877" i="4"/>
  <c r="E876" i="4"/>
  <c r="G876" i="4" s="1"/>
  <c r="D876" i="4"/>
  <c r="E875" i="4"/>
  <c r="G875" i="4" s="1"/>
  <c r="D875" i="4"/>
  <c r="D874" i="4"/>
  <c r="G873" i="4"/>
  <c r="D872" i="4"/>
  <c r="G871" i="4"/>
  <c r="E871" i="4"/>
  <c r="E870" i="4"/>
  <c r="G870" i="4" s="1"/>
  <c r="G869" i="4"/>
  <c r="D869" i="4"/>
  <c r="G866" i="4"/>
  <c r="G865" i="4"/>
  <c r="G864" i="4"/>
  <c r="G863" i="4"/>
  <c r="G862" i="4"/>
  <c r="D862" i="4"/>
  <c r="G861" i="4"/>
  <c r="D861" i="4"/>
  <c r="G860" i="4"/>
  <c r="D860" i="4"/>
  <c r="E859" i="4"/>
  <c r="G859" i="4" s="1"/>
  <c r="G858" i="4"/>
  <c r="D858" i="4"/>
  <c r="D857" i="4"/>
  <c r="D856" i="4"/>
  <c r="G855" i="4"/>
  <c r="D855" i="4"/>
  <c r="D854" i="4"/>
  <c r="G853" i="4"/>
  <c r="D853" i="4"/>
  <c r="G852" i="4"/>
  <c r="D852" i="4"/>
  <c r="G851" i="4"/>
  <c r="D851" i="4"/>
  <c r="D850" i="4"/>
  <c r="B850" i="4"/>
  <c r="D849" i="4"/>
  <c r="G848" i="4"/>
  <c r="D847" i="4"/>
  <c r="E846" i="4"/>
  <c r="G846" i="4" s="1"/>
  <c r="E845" i="4"/>
  <c r="G845" i="4" s="1"/>
  <c r="G844" i="4"/>
  <c r="D844" i="4"/>
  <c r="G839" i="4"/>
  <c r="G838" i="4"/>
  <c r="D838" i="4"/>
  <c r="D837" i="4"/>
  <c r="D836" i="4"/>
  <c r="D835" i="4"/>
  <c r="G834" i="4"/>
  <c r="D834" i="4"/>
  <c r="G833" i="4"/>
  <c r="G832" i="4"/>
  <c r="G831" i="4"/>
  <c r="G830" i="4"/>
  <c r="G827" i="4"/>
  <c r="G826" i="4"/>
  <c r="D826" i="4"/>
  <c r="D825" i="4"/>
  <c r="D824" i="4"/>
  <c r="D823" i="4"/>
  <c r="G822" i="4"/>
  <c r="D822" i="4"/>
  <c r="G821" i="4"/>
  <c r="I820" i="4"/>
  <c r="H820" i="4"/>
  <c r="G820" i="4"/>
  <c r="G819" i="4"/>
  <c r="G818" i="4"/>
  <c r="G815" i="4"/>
  <c r="G814" i="4"/>
  <c r="G813" i="4"/>
  <c r="G812" i="4"/>
  <c r="D812" i="4"/>
  <c r="B812" i="4"/>
  <c r="G811" i="4"/>
  <c r="E811" i="4"/>
  <c r="G810" i="4"/>
  <c r="G809" i="4"/>
  <c r="G808" i="4"/>
  <c r="G807" i="4"/>
  <c r="G806" i="4"/>
  <c r="G805" i="4"/>
  <c r="G804" i="4"/>
  <c r="G803" i="4"/>
  <c r="G802" i="4"/>
  <c r="G799" i="4"/>
  <c r="G798" i="4"/>
  <c r="G797" i="4"/>
  <c r="G796" i="4"/>
  <c r="G794" i="4"/>
  <c r="G793" i="4"/>
  <c r="D793" i="4"/>
  <c r="B793" i="4"/>
  <c r="G792" i="4"/>
  <c r="G790" i="4"/>
  <c r="G789" i="4"/>
  <c r="G788" i="4"/>
  <c r="E787" i="4"/>
  <c r="G787" i="4" s="1"/>
  <c r="E786" i="4"/>
  <c r="G786" i="4" s="1"/>
  <c r="B786" i="4"/>
  <c r="D785" i="4"/>
  <c r="B785" i="4"/>
  <c r="E781" i="4"/>
  <c r="D781" i="4"/>
  <c r="G780" i="4"/>
  <c r="E779" i="4"/>
  <c r="G779" i="4" s="1"/>
  <c r="G778" i="4"/>
  <c r="D778" i="4"/>
  <c r="B778" i="4"/>
  <c r="E777" i="4"/>
  <c r="D777" i="4"/>
  <c r="G776" i="4"/>
  <c r="G775" i="4"/>
  <c r="G774" i="4"/>
  <c r="G773" i="4"/>
  <c r="E772" i="4"/>
  <c r="G772" i="4" s="1"/>
  <c r="G771" i="4"/>
  <c r="E770" i="4"/>
  <c r="G770" i="4" s="1"/>
  <c r="G769" i="4"/>
  <c r="E769" i="4"/>
  <c r="G768" i="4"/>
  <c r="G765" i="4"/>
  <c r="G764" i="4"/>
  <c r="G763" i="4"/>
  <c r="G762" i="4"/>
  <c r="D762" i="4"/>
  <c r="D761" i="4"/>
  <c r="E760" i="4"/>
  <c r="G760" i="4" s="1"/>
  <c r="E759" i="4"/>
  <c r="G759" i="4" s="1"/>
  <c r="D759" i="4"/>
  <c r="B759" i="4"/>
  <c r="G758" i="4"/>
  <c r="D758" i="4"/>
  <c r="D757" i="4"/>
  <c r="G756" i="4"/>
  <c r="G755" i="4"/>
  <c r="E754" i="4"/>
  <c r="G754" i="4" s="1"/>
  <c r="D754" i="4"/>
  <c r="E753" i="4"/>
  <c r="E785" i="4" s="1"/>
  <c r="D753" i="4"/>
  <c r="D604" i="5" s="1"/>
  <c r="B753" i="4"/>
  <c r="G745" i="4"/>
  <c r="G744" i="4"/>
  <c r="I743" i="4"/>
  <c r="G743" i="4"/>
  <c r="G742" i="4"/>
  <c r="G741" i="4"/>
  <c r="G740" i="4"/>
  <c r="D740" i="4"/>
  <c r="B740" i="4"/>
  <c r="G739" i="4"/>
  <c r="D738" i="4"/>
  <c r="B738" i="4"/>
  <c r="G737" i="4"/>
  <c r="E737" i="4"/>
  <c r="E738" i="4" s="1"/>
  <c r="E736" i="4"/>
  <c r="G736" i="4" s="1"/>
  <c r="G733" i="4"/>
  <c r="G732" i="4"/>
  <c r="G731" i="4"/>
  <c r="G730" i="4"/>
  <c r="G729" i="4"/>
  <c r="G728" i="4"/>
  <c r="G727" i="4"/>
  <c r="G726" i="4"/>
  <c r="G725" i="4"/>
  <c r="D725" i="4"/>
  <c r="D724" i="4"/>
  <c r="G723" i="4"/>
  <c r="G722" i="4"/>
  <c r="D722" i="4"/>
  <c r="B722" i="4"/>
  <c r="D721" i="4"/>
  <c r="D720" i="4"/>
  <c r="G719" i="4"/>
  <c r="G718" i="4"/>
  <c r="D718" i="4"/>
  <c r="G717" i="4"/>
  <c r="D717" i="4"/>
  <c r="G716" i="4"/>
  <c r="G715" i="4"/>
  <c r="G714" i="4"/>
  <c r="G713" i="4"/>
  <c r="G710" i="4"/>
  <c r="G709" i="4"/>
  <c r="G708" i="4"/>
  <c r="D707" i="4"/>
  <c r="D706" i="4"/>
  <c r="B706" i="4"/>
  <c r="D705" i="4"/>
  <c r="B705" i="4"/>
  <c r="G704" i="4"/>
  <c r="D704" i="4"/>
  <c r="B704" i="4"/>
  <c r="G703" i="4"/>
  <c r="D703" i="4"/>
  <c r="G702" i="4"/>
  <c r="D702" i="4"/>
  <c r="D701" i="4"/>
  <c r="G700" i="4"/>
  <c r="D700" i="4"/>
  <c r="G699" i="4"/>
  <c r="D699" i="4"/>
  <c r="D698" i="4"/>
  <c r="G697" i="4"/>
  <c r="G696" i="4"/>
  <c r="D696" i="4"/>
  <c r="C696" i="4"/>
  <c r="B696" i="4"/>
  <c r="E695" i="4"/>
  <c r="G695" i="4" s="1"/>
  <c r="G694" i="4"/>
  <c r="E694" i="4"/>
  <c r="D693" i="4"/>
  <c r="G690" i="4"/>
  <c r="G689" i="4"/>
  <c r="D688" i="4"/>
  <c r="B688" i="4"/>
  <c r="G687" i="4"/>
  <c r="E687" i="4"/>
  <c r="D687" i="4"/>
  <c r="B687" i="4"/>
  <c r="D686" i="4"/>
  <c r="B686" i="4"/>
  <c r="D685" i="4"/>
  <c r="G684" i="4"/>
  <c r="D684" i="4"/>
  <c r="D683" i="4"/>
  <c r="G682" i="4"/>
  <c r="D682" i="4"/>
  <c r="G681" i="4"/>
  <c r="D681" i="4"/>
  <c r="D680" i="4"/>
  <c r="B680" i="4"/>
  <c r="D679" i="4"/>
  <c r="G678" i="4"/>
  <c r="G677" i="4"/>
  <c r="D677" i="4"/>
  <c r="B677" i="4"/>
  <c r="G676" i="4"/>
  <c r="E676" i="4"/>
  <c r="E675" i="4"/>
  <c r="G675" i="4" s="1"/>
  <c r="D674" i="4"/>
  <c r="G671" i="4"/>
  <c r="G670" i="4"/>
  <c r="E669" i="4"/>
  <c r="G669" i="4" s="1"/>
  <c r="D669" i="4"/>
  <c r="B669" i="4"/>
  <c r="D668" i="4"/>
  <c r="D667" i="4"/>
  <c r="B667" i="4"/>
  <c r="G666" i="4"/>
  <c r="D666" i="4"/>
  <c r="D665" i="4"/>
  <c r="G664" i="4"/>
  <c r="D664" i="4"/>
  <c r="G663" i="4"/>
  <c r="D663" i="4"/>
  <c r="D662" i="4"/>
  <c r="B662" i="4"/>
  <c r="D661" i="4"/>
  <c r="D660" i="4"/>
  <c r="G659" i="4"/>
  <c r="G658" i="4"/>
  <c r="D658" i="4"/>
  <c r="B658" i="4"/>
  <c r="G657" i="4"/>
  <c r="E657" i="4"/>
  <c r="E656" i="4"/>
  <c r="G656" i="4" s="1"/>
  <c r="D655" i="4"/>
  <c r="G652" i="4"/>
  <c r="G651" i="4"/>
  <c r="G650" i="4"/>
  <c r="D650" i="4"/>
  <c r="G649" i="4"/>
  <c r="D649" i="4"/>
  <c r="G648" i="4"/>
  <c r="D648" i="4"/>
  <c r="G647" i="4"/>
  <c r="D647" i="4"/>
  <c r="G646" i="4"/>
  <c r="D646" i="4"/>
  <c r="G645" i="4"/>
  <c r="D645" i="4"/>
  <c r="D644" i="4"/>
  <c r="G643" i="4"/>
  <c r="D643" i="4"/>
  <c r="B643" i="4"/>
  <c r="G642" i="4"/>
  <c r="D642" i="4"/>
  <c r="B642" i="4"/>
  <c r="G641" i="4"/>
  <c r="D641" i="4"/>
  <c r="G640" i="4"/>
  <c r="D640" i="4"/>
  <c r="G639" i="4"/>
  <c r="D639" i="4"/>
  <c r="D638" i="4"/>
  <c r="G637" i="4"/>
  <c r="E637" i="4"/>
  <c r="G636" i="4"/>
  <c r="G635" i="4"/>
  <c r="E635" i="4"/>
  <c r="D635" i="4"/>
  <c r="B635" i="4"/>
  <c r="G634" i="4"/>
  <c r="E634" i="4"/>
  <c r="G633" i="4"/>
  <c r="D633" i="4"/>
  <c r="G630" i="4"/>
  <c r="G629" i="4"/>
  <c r="G628" i="4"/>
  <c r="D628" i="4"/>
  <c r="G627" i="4"/>
  <c r="D627" i="4"/>
  <c r="G626" i="4"/>
  <c r="D626" i="4"/>
  <c r="G625" i="4"/>
  <c r="D625" i="4"/>
  <c r="G624" i="4"/>
  <c r="D624" i="4"/>
  <c r="G623" i="4"/>
  <c r="D623" i="4"/>
  <c r="G622" i="4"/>
  <c r="D622" i="4"/>
  <c r="G621" i="4"/>
  <c r="D621" i="4"/>
  <c r="B621" i="4"/>
  <c r="G620" i="4"/>
  <c r="D620" i="4"/>
  <c r="G619" i="4"/>
  <c r="D619" i="4"/>
  <c r="G618" i="4"/>
  <c r="D618" i="4"/>
  <c r="G617" i="4"/>
  <c r="D617" i="4"/>
  <c r="G616" i="4"/>
  <c r="D616" i="4"/>
  <c r="G615" i="4"/>
  <c r="E615" i="4"/>
  <c r="D615" i="4"/>
  <c r="G614" i="4"/>
  <c r="E614" i="4"/>
  <c r="D614" i="4"/>
  <c r="D613" i="4"/>
  <c r="E612" i="4"/>
  <c r="G612" i="4" s="1"/>
  <c r="G611" i="4"/>
  <c r="G610" i="4"/>
  <c r="D610" i="4"/>
  <c r="B610" i="4"/>
  <c r="E609" i="4"/>
  <c r="G609" i="4" s="1"/>
  <c r="G608" i="4"/>
  <c r="D608" i="4"/>
  <c r="G605" i="4"/>
  <c r="G604" i="4"/>
  <c r="G603" i="4"/>
  <c r="G602" i="4"/>
  <c r="G601" i="4"/>
  <c r="G600" i="4"/>
  <c r="D600" i="4"/>
  <c r="G599" i="4"/>
  <c r="D599" i="4"/>
  <c r="G598" i="4"/>
  <c r="D598" i="4"/>
  <c r="G597" i="4"/>
  <c r="D597" i="4"/>
  <c r="G596" i="4"/>
  <c r="D596" i="4"/>
  <c r="G595" i="4"/>
  <c r="D595" i="4"/>
  <c r="G594" i="4"/>
  <c r="D594" i="4"/>
  <c r="G593" i="4"/>
  <c r="D593" i="4"/>
  <c r="G592" i="4"/>
  <c r="D592" i="4"/>
  <c r="G591" i="4"/>
  <c r="D591" i="4"/>
  <c r="G590" i="4"/>
  <c r="D590" i="4"/>
  <c r="G589" i="4"/>
  <c r="D589" i="4"/>
  <c r="E588" i="4"/>
  <c r="G588" i="4" s="1"/>
  <c r="G587" i="4"/>
  <c r="D587" i="4"/>
  <c r="B587" i="4"/>
  <c r="G586" i="4"/>
  <c r="D586" i="4"/>
  <c r="E585" i="4"/>
  <c r="G585" i="4" s="1"/>
  <c r="D585" i="4"/>
  <c r="D584" i="4"/>
  <c r="C584" i="4"/>
  <c r="B584" i="4"/>
  <c r="D583" i="4"/>
  <c r="D582" i="4"/>
  <c r="G581" i="4"/>
  <c r="G580" i="4"/>
  <c r="D579" i="4"/>
  <c r="B579" i="4"/>
  <c r="D578" i="4"/>
  <c r="G577" i="4"/>
  <c r="E576" i="4"/>
  <c r="G576" i="4" s="1"/>
  <c r="G575" i="4"/>
  <c r="E575" i="4"/>
  <c r="G574" i="4"/>
  <c r="D574" i="4"/>
  <c r="G573" i="4"/>
  <c r="D573" i="4"/>
  <c r="G570" i="4"/>
  <c r="G569" i="4"/>
  <c r="G568" i="4"/>
  <c r="G567" i="4"/>
  <c r="E566" i="4"/>
  <c r="G566" i="4" s="1"/>
  <c r="G565" i="4"/>
  <c r="D565" i="4"/>
  <c r="G564" i="4"/>
  <c r="D564" i="4"/>
  <c r="G563" i="4"/>
  <c r="D563" i="4"/>
  <c r="G562" i="4"/>
  <c r="D562" i="4"/>
  <c r="G561" i="4"/>
  <c r="D561" i="4"/>
  <c r="G560" i="4"/>
  <c r="D560" i="4"/>
  <c r="G559" i="4"/>
  <c r="D559" i="4"/>
  <c r="G558" i="4"/>
  <c r="G557" i="4"/>
  <c r="D557" i="4"/>
  <c r="D556" i="4"/>
  <c r="B556" i="4"/>
  <c r="G555" i="4"/>
  <c r="D555" i="4"/>
  <c r="G554" i="4"/>
  <c r="D554" i="4"/>
  <c r="G553" i="4"/>
  <c r="G552" i="4"/>
  <c r="D552" i="4"/>
  <c r="E551" i="4"/>
  <c r="E583" i="4" s="1"/>
  <c r="G583" i="4" s="1"/>
  <c r="D551" i="4"/>
  <c r="E550" i="4"/>
  <c r="E582" i="4" s="1"/>
  <c r="G582" i="4" s="1"/>
  <c r="D550" i="4"/>
  <c r="G549" i="4"/>
  <c r="G548" i="4"/>
  <c r="D547" i="4"/>
  <c r="B547" i="4"/>
  <c r="D546" i="4"/>
  <c r="G545" i="4"/>
  <c r="E544" i="4"/>
  <c r="G544" i="4" s="1"/>
  <c r="G543" i="4"/>
  <c r="E543" i="4"/>
  <c r="G542" i="4"/>
  <c r="D542" i="4"/>
  <c r="G541" i="4"/>
  <c r="D541" i="4"/>
  <c r="G538" i="4"/>
  <c r="G537" i="4"/>
  <c r="G536" i="4"/>
  <c r="G535" i="4"/>
  <c r="G534" i="4"/>
  <c r="G533" i="4"/>
  <c r="D533" i="4"/>
  <c r="B533" i="4"/>
  <c r="G531" i="4"/>
  <c r="D531" i="4"/>
  <c r="G530" i="4"/>
  <c r="D530" i="4"/>
  <c r="G529" i="4"/>
  <c r="D529" i="4"/>
  <c r="G528" i="4"/>
  <c r="D528" i="4"/>
  <c r="E527" i="4"/>
  <c r="G527" i="4" s="1"/>
  <c r="D527" i="4"/>
  <c r="B527" i="4"/>
  <c r="G526" i="4"/>
  <c r="D526" i="4"/>
  <c r="E525" i="4"/>
  <c r="G525" i="4" s="1"/>
  <c r="D524" i="4"/>
  <c r="D523" i="4"/>
  <c r="G522" i="4"/>
  <c r="E521" i="4"/>
  <c r="G521" i="4" s="1"/>
  <c r="G520" i="4"/>
  <c r="E520" i="4"/>
  <c r="G519" i="4"/>
  <c r="D519" i="4"/>
  <c r="G518" i="4"/>
  <c r="D518" i="4"/>
  <c r="G515" i="4"/>
  <c r="G514" i="4"/>
  <c r="G513" i="4"/>
  <c r="D513" i="4"/>
  <c r="G512" i="4"/>
  <c r="D512" i="4"/>
  <c r="G511" i="4"/>
  <c r="D511" i="4"/>
  <c r="G510" i="4"/>
  <c r="D510" i="4"/>
  <c r="G509" i="4"/>
  <c r="D509" i="4"/>
  <c r="E508" i="4"/>
  <c r="G508" i="4" s="1"/>
  <c r="D508" i="4"/>
  <c r="D537" i="4" s="1"/>
  <c r="B508" i="4"/>
  <c r="B537" i="4" s="1"/>
  <c r="E507" i="4"/>
  <c r="G507" i="4" s="1"/>
  <c r="D507" i="4"/>
  <c r="B507" i="4"/>
  <c r="G506" i="4"/>
  <c r="D506" i="4"/>
  <c r="E505" i="4"/>
  <c r="G505" i="4" s="1"/>
  <c r="D504" i="4"/>
  <c r="B504" i="4"/>
  <c r="E503" i="4"/>
  <c r="G503" i="4" s="1"/>
  <c r="B503" i="4"/>
  <c r="G502" i="4"/>
  <c r="D502" i="4"/>
  <c r="G501" i="4"/>
  <c r="D501" i="4"/>
  <c r="G500" i="4"/>
  <c r="B500" i="4"/>
  <c r="G499" i="4"/>
  <c r="D498" i="4"/>
  <c r="G497" i="4"/>
  <c r="E497" i="4"/>
  <c r="E496" i="4"/>
  <c r="G496" i="4" s="1"/>
  <c r="G495" i="4"/>
  <c r="D495" i="4"/>
  <c r="B495" i="4"/>
  <c r="G494" i="4"/>
  <c r="D494" i="4"/>
  <c r="G491" i="4"/>
  <c r="G490" i="4"/>
  <c r="G489" i="4"/>
  <c r="G488" i="4"/>
  <c r="G487" i="4"/>
  <c r="G486" i="4"/>
  <c r="G485" i="4"/>
  <c r="G484" i="4"/>
  <c r="B484" i="4"/>
  <c r="G483" i="4"/>
  <c r="D483" i="4"/>
  <c r="E482" i="4"/>
  <c r="G482" i="4" s="1"/>
  <c r="E479" i="4"/>
  <c r="G479" i="4" s="1"/>
  <c r="G478" i="4"/>
  <c r="E478" i="4"/>
  <c r="G477" i="4"/>
  <c r="G476" i="4"/>
  <c r="D475" i="4"/>
  <c r="G474" i="4"/>
  <c r="G473" i="4"/>
  <c r="D473" i="4"/>
  <c r="G472" i="4"/>
  <c r="D472" i="4"/>
  <c r="G471" i="4"/>
  <c r="D471" i="4"/>
  <c r="G470" i="4"/>
  <c r="D470" i="4"/>
  <c r="G469" i="4"/>
  <c r="D469" i="4"/>
  <c r="E468" i="4"/>
  <c r="G468" i="4" s="1"/>
  <c r="G467" i="4"/>
  <c r="G466" i="4"/>
  <c r="G465" i="4"/>
  <c r="G462" i="4"/>
  <c r="G461" i="4"/>
  <c r="G460" i="4"/>
  <c r="D460" i="4"/>
  <c r="D532" i="4" s="1"/>
  <c r="B460" i="4"/>
  <c r="B532" i="4" s="1"/>
  <c r="G459" i="4"/>
  <c r="D459" i="4"/>
  <c r="G458" i="4"/>
  <c r="D458" i="4"/>
  <c r="G457" i="4"/>
  <c r="D457" i="4"/>
  <c r="B457" i="4"/>
  <c r="G456" i="4"/>
  <c r="G455" i="4"/>
  <c r="D455" i="4"/>
  <c r="G454" i="4"/>
  <c r="D454" i="4"/>
  <c r="G453" i="4"/>
  <c r="D453" i="4"/>
  <c r="G452" i="4"/>
  <c r="D452" i="4"/>
  <c r="D451" i="4"/>
  <c r="B451" i="4"/>
  <c r="G450" i="4"/>
  <c r="D449" i="4"/>
  <c r="E448" i="4"/>
  <c r="G448" i="4" s="1"/>
  <c r="E447" i="4"/>
  <c r="G447" i="4" s="1"/>
  <c r="B447" i="4"/>
  <c r="G446" i="4"/>
  <c r="D446" i="4"/>
  <c r="G445" i="4"/>
  <c r="D445" i="4"/>
  <c r="G442" i="4"/>
  <c r="G441" i="4"/>
  <c r="G440" i="4"/>
  <c r="D440" i="4"/>
  <c r="G439" i="4"/>
  <c r="D439" i="4"/>
  <c r="G438" i="4"/>
  <c r="D438" i="4"/>
  <c r="G437" i="4"/>
  <c r="D437" i="4"/>
  <c r="G436" i="4"/>
  <c r="G435" i="4"/>
  <c r="G434" i="4"/>
  <c r="G433" i="4"/>
  <c r="G432" i="4"/>
  <c r="G431" i="4"/>
  <c r="G428" i="4"/>
  <c r="B428" i="4"/>
  <c r="G427" i="4"/>
  <c r="G426" i="4"/>
  <c r="B426" i="4"/>
  <c r="G425" i="4"/>
  <c r="D425" i="4"/>
  <c r="G424" i="4"/>
  <c r="D424" i="4"/>
  <c r="G423" i="4"/>
  <c r="D423" i="4"/>
  <c r="G422" i="4"/>
  <c r="D422" i="4"/>
  <c r="G421" i="4"/>
  <c r="D421" i="4"/>
  <c r="G420" i="4"/>
  <c r="D420" i="4"/>
  <c r="G419" i="4"/>
  <c r="D418" i="4"/>
  <c r="B418" i="4"/>
  <c r="G417" i="4"/>
  <c r="D417" i="4"/>
  <c r="G416" i="4"/>
  <c r="E416" i="4"/>
  <c r="D416" i="4"/>
  <c r="D503" i="4" s="1"/>
  <c r="G415" i="4"/>
  <c r="D415" i="4"/>
  <c r="G414" i="4"/>
  <c r="D414" i="4"/>
  <c r="G413" i="4"/>
  <c r="D413" i="4"/>
  <c r="G412" i="4"/>
  <c r="D411" i="4"/>
  <c r="E410" i="4"/>
  <c r="G410" i="4" s="1"/>
  <c r="G409" i="4"/>
  <c r="D409" i="4"/>
  <c r="B409" i="4"/>
  <c r="E408" i="4"/>
  <c r="G408" i="4" s="1"/>
  <c r="G407" i="4"/>
  <c r="D407" i="4"/>
  <c r="G400" i="4"/>
  <c r="G399" i="4"/>
  <c r="G398" i="4"/>
  <c r="G397" i="4"/>
  <c r="G396" i="4"/>
  <c r="G395" i="4"/>
  <c r="E394" i="4"/>
  <c r="G394" i="4" s="1"/>
  <c r="G393" i="4"/>
  <c r="G392" i="4"/>
  <c r="G391" i="4"/>
  <c r="G390" i="4"/>
  <c r="G389" i="4"/>
  <c r="E389" i="4"/>
  <c r="G388" i="4"/>
  <c r="E387" i="4"/>
  <c r="G387" i="4" s="1"/>
  <c r="G386" i="4"/>
  <c r="G385" i="4"/>
  <c r="G384" i="4"/>
  <c r="G383" i="4"/>
  <c r="G382" i="4"/>
  <c r="D382" i="4"/>
  <c r="B382" i="4"/>
  <c r="G381" i="4"/>
  <c r="G380" i="4"/>
  <c r="D380" i="4"/>
  <c r="G379" i="4"/>
  <c r="D379" i="4"/>
  <c r="E378" i="4"/>
  <c r="G378" i="4" s="1"/>
  <c r="D378" i="4"/>
  <c r="G377" i="4"/>
  <c r="E377" i="4"/>
  <c r="D377" i="4"/>
  <c r="B377" i="4"/>
  <c r="G376" i="4"/>
  <c r="E376" i="4"/>
  <c r="D376" i="4"/>
  <c r="B376" i="4"/>
  <c r="G375" i="4"/>
  <c r="E375" i="4"/>
  <c r="D375" i="4"/>
  <c r="G374" i="4"/>
  <c r="D374" i="4"/>
  <c r="B374" i="4"/>
  <c r="G373" i="4"/>
  <c r="G372" i="4"/>
  <c r="G371" i="4"/>
  <c r="D371" i="4"/>
  <c r="G370" i="4"/>
  <c r="D370" i="4"/>
  <c r="G369" i="4"/>
  <c r="E369" i="4"/>
  <c r="D369" i="4"/>
  <c r="G368" i="4"/>
  <c r="G367" i="4"/>
  <c r="G366" i="4"/>
  <c r="G365" i="4"/>
  <c r="G362" i="4"/>
  <c r="G361" i="4"/>
  <c r="D361" i="4"/>
  <c r="G360" i="4"/>
  <c r="D360" i="4"/>
  <c r="G359" i="4"/>
  <c r="D359" i="4"/>
  <c r="G356" i="4"/>
  <c r="G355" i="4"/>
  <c r="G354" i="4"/>
  <c r="G353" i="4"/>
  <c r="D353" i="4"/>
  <c r="G352" i="4"/>
  <c r="D352" i="4"/>
  <c r="G351" i="4"/>
  <c r="D351" i="4"/>
  <c r="G350" i="4"/>
  <c r="G349" i="4"/>
  <c r="G348" i="4"/>
  <c r="G347" i="4"/>
  <c r="D347" i="4"/>
  <c r="G344" i="4"/>
  <c r="G343" i="4"/>
  <c r="G342" i="4"/>
  <c r="G341" i="4"/>
  <c r="G340" i="4"/>
  <c r="G339" i="4"/>
  <c r="G338" i="4"/>
  <c r="D338" i="4"/>
  <c r="G337" i="4"/>
  <c r="D337" i="4"/>
  <c r="G336" i="4"/>
  <c r="G335" i="4"/>
  <c r="G334" i="4"/>
  <c r="G333" i="4"/>
  <c r="G332" i="4"/>
  <c r="G345" i="4" s="1"/>
  <c r="C33" i="8" s="1"/>
  <c r="D332" i="4"/>
  <c r="G329" i="4"/>
  <c r="G328" i="4"/>
  <c r="G327" i="4"/>
  <c r="G326" i="4"/>
  <c r="D326" i="4"/>
  <c r="G325" i="4"/>
  <c r="D325" i="4"/>
  <c r="G324" i="4"/>
  <c r="D324" i="4"/>
  <c r="G323" i="4"/>
  <c r="D323" i="4"/>
  <c r="G322" i="4"/>
  <c r="G321" i="4"/>
  <c r="G320" i="4"/>
  <c r="G319" i="4"/>
  <c r="G316" i="4"/>
  <c r="G315" i="4"/>
  <c r="G314" i="4"/>
  <c r="G313" i="4"/>
  <c r="D313" i="4"/>
  <c r="G312" i="4"/>
  <c r="D312" i="4"/>
  <c r="G311" i="4"/>
  <c r="D311" i="4"/>
  <c r="G310" i="4"/>
  <c r="E310" i="4"/>
  <c r="G309" i="4"/>
  <c r="D309" i="4"/>
  <c r="G308" i="4"/>
  <c r="D308" i="4"/>
  <c r="G307" i="4"/>
  <c r="D307" i="4"/>
  <c r="G306" i="4"/>
  <c r="D306" i="4"/>
  <c r="G305" i="4"/>
  <c r="D305" i="4"/>
  <c r="G304" i="4"/>
  <c r="D304" i="4"/>
  <c r="G303" i="4"/>
  <c r="D303" i="4"/>
  <c r="D302" i="4"/>
  <c r="B302" i="4"/>
  <c r="D301" i="4"/>
  <c r="G300" i="4"/>
  <c r="D300" i="4"/>
  <c r="D299" i="4"/>
  <c r="E298" i="4"/>
  <c r="G298" i="4" s="1"/>
  <c r="D298" i="4"/>
  <c r="G297" i="4"/>
  <c r="D296" i="4"/>
  <c r="G295" i="4"/>
  <c r="D295" i="4"/>
  <c r="B295" i="4"/>
  <c r="G292" i="4"/>
  <c r="G291" i="4"/>
  <c r="G290" i="4"/>
  <c r="G289" i="4"/>
  <c r="D289" i="4"/>
  <c r="G288" i="4"/>
  <c r="D288" i="4"/>
  <c r="G287" i="4"/>
  <c r="D287" i="4"/>
  <c r="E286" i="4"/>
  <c r="G286" i="4" s="1"/>
  <c r="G285" i="4"/>
  <c r="D285" i="4"/>
  <c r="G284" i="4"/>
  <c r="D284" i="4"/>
  <c r="G283" i="4"/>
  <c r="D283" i="4"/>
  <c r="G282" i="4"/>
  <c r="D282" i="4"/>
  <c r="D281" i="4"/>
  <c r="B281" i="4"/>
  <c r="D280" i="4"/>
  <c r="G279" i="4"/>
  <c r="D279" i="4"/>
  <c r="G278" i="4"/>
  <c r="D278" i="4"/>
  <c r="G277" i="4"/>
  <c r="D277" i="4"/>
  <c r="E276" i="4"/>
  <c r="E300" i="4" s="1"/>
  <c r="D276" i="4"/>
  <c r="G275" i="4"/>
  <c r="E275" i="4"/>
  <c r="E299" i="4" s="1"/>
  <c r="D275" i="4"/>
  <c r="G274" i="4"/>
  <c r="E274" i="4"/>
  <c r="D274" i="4"/>
  <c r="G273" i="4"/>
  <c r="D272" i="4"/>
  <c r="G271" i="4"/>
  <c r="D271" i="4"/>
  <c r="B271" i="4"/>
  <c r="G264" i="4"/>
  <c r="G263" i="4"/>
  <c r="D263" i="4"/>
  <c r="G262" i="4"/>
  <c r="D262" i="4"/>
  <c r="G259" i="4"/>
  <c r="G258" i="4"/>
  <c r="G257" i="4"/>
  <c r="G256" i="4"/>
  <c r="G255" i="4"/>
  <c r="G254" i="4"/>
  <c r="G253" i="4"/>
  <c r="E253" i="4"/>
  <c r="G252" i="4"/>
  <c r="G249" i="4"/>
  <c r="G248" i="4"/>
  <c r="D248" i="4"/>
  <c r="B248" i="4"/>
  <c r="E247" i="4"/>
  <c r="G247" i="4" s="1"/>
  <c r="G246" i="4"/>
  <c r="E246" i="4"/>
  <c r="G245" i="4"/>
  <c r="G238" i="4"/>
  <c r="G237" i="4"/>
  <c r="G236" i="4"/>
  <c r="G235" i="4"/>
  <c r="G234" i="4"/>
  <c r="E234" i="4"/>
  <c r="G233" i="4"/>
  <c r="G232" i="4"/>
  <c r="G231" i="4"/>
  <c r="D231" i="4"/>
  <c r="E230" i="4"/>
  <c r="G230" i="4" s="1"/>
  <c r="D230" i="4"/>
  <c r="B230" i="4"/>
  <c r="E229" i="4"/>
  <c r="G229" i="4" s="1"/>
  <c r="D229" i="4"/>
  <c r="G228" i="4"/>
  <c r="G227" i="4"/>
  <c r="E226" i="4"/>
  <c r="G226" i="4" s="1"/>
  <c r="G225" i="4"/>
  <c r="E225" i="4"/>
  <c r="G220" i="4"/>
  <c r="G219" i="4"/>
  <c r="G218" i="4"/>
  <c r="D218" i="4"/>
  <c r="G217" i="4"/>
  <c r="D217" i="4"/>
  <c r="G216" i="4"/>
  <c r="D216" i="4"/>
  <c r="G215" i="4"/>
  <c r="D214" i="4"/>
  <c r="B214" i="4"/>
  <c r="G213" i="4"/>
  <c r="D213" i="4"/>
  <c r="G212" i="4"/>
  <c r="G211" i="4"/>
  <c r="G210" i="4"/>
  <c r="G209" i="4"/>
  <c r="G208" i="4"/>
  <c r="D208" i="4"/>
  <c r="D207" i="4"/>
  <c r="G206" i="4"/>
  <c r="D206" i="4"/>
  <c r="G205" i="4"/>
  <c r="G204" i="4"/>
  <c r="D204" i="4"/>
  <c r="G203" i="4"/>
  <c r="D203" i="4"/>
  <c r="G202" i="4"/>
  <c r="G201" i="4"/>
  <c r="D200" i="4"/>
  <c r="D199" i="4"/>
  <c r="G198" i="4"/>
  <c r="D197" i="4"/>
  <c r="G196" i="4"/>
  <c r="D196" i="4"/>
  <c r="B196" i="4"/>
  <c r="E195" i="4"/>
  <c r="G195" i="4" s="1"/>
  <c r="N194" i="4"/>
  <c r="D192" i="4"/>
  <c r="D222" i="4" s="1"/>
  <c r="B192" i="4"/>
  <c r="B222" i="4" s="1"/>
  <c r="G191" i="4"/>
  <c r="G190" i="4"/>
  <c r="G189" i="4"/>
  <c r="G188" i="4"/>
  <c r="D188" i="4"/>
  <c r="G187" i="4"/>
  <c r="D187" i="4"/>
  <c r="G186" i="4"/>
  <c r="D186" i="4"/>
  <c r="G185" i="4"/>
  <c r="D185" i="4"/>
  <c r="D184" i="4"/>
  <c r="B184" i="4"/>
  <c r="G183" i="4"/>
  <c r="D183" i="4"/>
  <c r="G182" i="4"/>
  <c r="G181" i="4"/>
  <c r="G180" i="4"/>
  <c r="G179" i="4"/>
  <c r="G178" i="4"/>
  <c r="G177" i="4"/>
  <c r="D177" i="4"/>
  <c r="G176" i="4"/>
  <c r="D176" i="4"/>
  <c r="G175" i="4"/>
  <c r="G174" i="4"/>
  <c r="D174" i="4"/>
  <c r="G173" i="4"/>
  <c r="D173" i="4"/>
  <c r="G172" i="4"/>
  <c r="G171" i="4"/>
  <c r="E170" i="4"/>
  <c r="D170" i="4"/>
  <c r="G169" i="4"/>
  <c r="D169" i="4"/>
  <c r="G168" i="4"/>
  <c r="D168" i="4"/>
  <c r="G167" i="4"/>
  <c r="D167" i="4"/>
  <c r="D166" i="4"/>
  <c r="G165" i="4"/>
  <c r="D164" i="4"/>
  <c r="B164" i="4"/>
  <c r="G163" i="4"/>
  <c r="D163" i="4"/>
  <c r="B163" i="4"/>
  <c r="H162" i="4"/>
  <c r="G162" i="4"/>
  <c r="E162" i="4"/>
  <c r="G159" i="4"/>
  <c r="D159" i="4"/>
  <c r="G158" i="4"/>
  <c r="G157" i="4"/>
  <c r="E157" i="4"/>
  <c r="B157" i="4"/>
  <c r="G156" i="4"/>
  <c r="G155" i="4"/>
  <c r="G154" i="4"/>
  <c r="G153" i="4"/>
  <c r="D153" i="4"/>
  <c r="B153" i="4"/>
  <c r="G152" i="4"/>
  <c r="D152" i="4"/>
  <c r="G151" i="4"/>
  <c r="D151" i="4"/>
  <c r="G150" i="4"/>
  <c r="G149" i="4"/>
  <c r="D149" i="4"/>
  <c r="G148" i="4"/>
  <c r="D148" i="4"/>
  <c r="G147" i="4"/>
  <c r="D147" i="4"/>
  <c r="G146" i="4"/>
  <c r="D146" i="4"/>
  <c r="D145" i="4"/>
  <c r="G141" i="4"/>
  <c r="D141" i="4"/>
  <c r="B141" i="4"/>
  <c r="G140" i="4"/>
  <c r="E139" i="4"/>
  <c r="G139" i="4" s="1"/>
  <c r="G138" i="4"/>
  <c r="G137" i="4"/>
  <c r="G136" i="4"/>
  <c r="D136" i="4"/>
  <c r="G135" i="4"/>
  <c r="D135" i="4"/>
  <c r="G134" i="4"/>
  <c r="B134" i="4"/>
  <c r="G133" i="4"/>
  <c r="G132" i="4"/>
  <c r="D132" i="4"/>
  <c r="G131" i="4"/>
  <c r="D131" i="4"/>
  <c r="G130" i="4"/>
  <c r="D130" i="4"/>
  <c r="G129" i="4"/>
  <c r="D129" i="4"/>
  <c r="G128" i="4"/>
  <c r="D128" i="4"/>
  <c r="G127" i="4"/>
  <c r="D127" i="4"/>
  <c r="G126" i="4"/>
  <c r="D126" i="4"/>
  <c r="D125" i="4"/>
  <c r="G124" i="4"/>
  <c r="G144" i="4"/>
  <c r="D124" i="4"/>
  <c r="D144" i="4" s="1"/>
  <c r="B124" i="4"/>
  <c r="B144" i="4" s="1"/>
  <c r="G117" i="4"/>
  <c r="G116" i="4"/>
  <c r="G115" i="4"/>
  <c r="G114" i="4"/>
  <c r="G118" i="4" s="1"/>
  <c r="E114" i="4"/>
  <c r="G113" i="4"/>
  <c r="G110" i="4"/>
  <c r="G109" i="4"/>
  <c r="G108" i="4"/>
  <c r="G107" i="4"/>
  <c r="G106" i="4"/>
  <c r="D106" i="4"/>
  <c r="G105" i="4"/>
  <c r="G104" i="4"/>
  <c r="D104" i="4"/>
  <c r="G103" i="4"/>
  <c r="E103" i="4"/>
  <c r="E102" i="4"/>
  <c r="G102" i="4" s="1"/>
  <c r="G101" i="4"/>
  <c r="E101" i="4"/>
  <c r="G100" i="4"/>
  <c r="G99" i="4"/>
  <c r="G98" i="4"/>
  <c r="G95" i="4"/>
  <c r="G94" i="4"/>
  <c r="G93" i="4"/>
  <c r="G92" i="4"/>
  <c r="G91" i="4"/>
  <c r="D90" i="4"/>
  <c r="G89" i="4"/>
  <c r="G88" i="4"/>
  <c r="G87" i="4"/>
  <c r="G86" i="4"/>
  <c r="G85" i="4"/>
  <c r="G84" i="4"/>
  <c r="E84" i="4"/>
  <c r="G83" i="4"/>
  <c r="G82" i="4"/>
  <c r="G81" i="4"/>
  <c r="D81" i="4"/>
  <c r="D80" i="4"/>
  <c r="G79" i="4"/>
  <c r="G78" i="4"/>
  <c r="D78" i="4"/>
  <c r="B78" i="4"/>
  <c r="G77" i="4"/>
  <c r="D77" i="4"/>
  <c r="G76" i="4"/>
  <c r="E75" i="4"/>
  <c r="G75" i="4" s="1"/>
  <c r="G72" i="4"/>
  <c r="D72" i="4"/>
  <c r="B72" i="4"/>
  <c r="E71" i="4"/>
  <c r="G71" i="4" s="1"/>
  <c r="G68" i="4"/>
  <c r="G67" i="4"/>
  <c r="G66" i="4"/>
  <c r="G65" i="4"/>
  <c r="G64" i="4"/>
  <c r="G63" i="4"/>
  <c r="G62" i="4"/>
  <c r="G61" i="4"/>
  <c r="E60" i="4"/>
  <c r="G60" i="4" s="1"/>
  <c r="G59" i="4"/>
  <c r="G58" i="4"/>
  <c r="G57" i="4"/>
  <c r="D57" i="4"/>
  <c r="E56" i="4"/>
  <c r="G56" i="4" s="1"/>
  <c r="G55" i="4"/>
  <c r="G52" i="4"/>
  <c r="G51" i="4"/>
  <c r="G50" i="4"/>
  <c r="G49" i="4"/>
  <c r="G48" i="4"/>
  <c r="G47" i="4"/>
  <c r="D47" i="4"/>
  <c r="B47" i="4"/>
  <c r="G46" i="4"/>
  <c r="G43" i="4"/>
  <c r="E42" i="4"/>
  <c r="G42" i="4" s="1"/>
  <c r="D42" i="4"/>
  <c r="B42" i="4"/>
  <c r="G41" i="4"/>
  <c r="E41" i="4"/>
  <c r="E40" i="4"/>
  <c r="G40" i="4" s="1"/>
  <c r="G37" i="4"/>
  <c r="E36" i="4"/>
  <c r="G36" i="4" s="1"/>
  <c r="D36" i="4"/>
  <c r="B36" i="4"/>
  <c r="E35" i="4"/>
  <c r="G35" i="4" s="1"/>
  <c r="G34" i="4"/>
  <c r="G27" i="4"/>
  <c r="G26" i="4"/>
  <c r="E25" i="4"/>
  <c r="G25" i="4" s="1"/>
  <c r="G24" i="4"/>
  <c r="E24" i="4"/>
  <c r="G23" i="4"/>
  <c r="G22" i="4"/>
  <c r="G21" i="4"/>
  <c r="G20" i="4"/>
  <c r="G19" i="4"/>
  <c r="G18" i="4"/>
  <c r="G17" i="4"/>
  <c r="E17" i="4"/>
  <c r="G14" i="4"/>
  <c r="G13" i="4"/>
  <c r="G15" i="4" s="1"/>
  <c r="C10" i="8" s="1"/>
  <c r="E13" i="4"/>
  <c r="A8" i="4"/>
  <c r="A7" i="4"/>
  <c r="D11" i="3"/>
  <c r="D16" i="3" s="1"/>
  <c r="D6" i="3"/>
  <c r="A3" i="3"/>
  <c r="F42" i="5" l="1"/>
  <c r="G42" i="5" s="1"/>
  <c r="F50" i="5"/>
  <c r="G50" i="5" s="1"/>
  <c r="F205" i="5"/>
  <c r="G205" i="5" s="1"/>
  <c r="F426" i="5"/>
  <c r="G426" i="5" s="1"/>
  <c r="F456" i="5"/>
  <c r="G456" i="5" s="1"/>
  <c r="F544" i="5"/>
  <c r="G544" i="5" s="1"/>
  <c r="F614" i="5"/>
  <c r="G614" i="5" s="1"/>
  <c r="F105" i="5"/>
  <c r="G105" i="5" s="1"/>
  <c r="F110" i="5"/>
  <c r="G110" i="5" s="1"/>
  <c r="F120" i="5"/>
  <c r="G120" i="5" s="1"/>
  <c r="F184" i="5"/>
  <c r="G184" i="5" s="1"/>
  <c r="F466" i="5"/>
  <c r="G466" i="5" s="1"/>
  <c r="F479" i="5"/>
  <c r="G479" i="5" s="1"/>
  <c r="F500" i="5"/>
  <c r="G500" i="5" s="1"/>
  <c r="F628" i="5"/>
  <c r="G628" i="5" s="1"/>
  <c r="F789" i="5"/>
  <c r="G789" i="5" s="1"/>
  <c r="F826" i="5"/>
  <c r="G826" i="5" s="1"/>
  <c r="F847" i="5"/>
  <c r="G847" i="5" s="1"/>
  <c r="F661" i="5"/>
  <c r="G661" i="5" s="1"/>
  <c r="F668" i="5"/>
  <c r="G668" i="5" s="1"/>
  <c r="F679" i="5"/>
  <c r="G679" i="5" s="1"/>
  <c r="F696" i="5"/>
  <c r="G696" i="5" s="1"/>
  <c r="F777" i="5"/>
  <c r="G777" i="5" s="1"/>
  <c r="F794" i="5"/>
  <c r="G794" i="5" s="1"/>
  <c r="F819" i="5"/>
  <c r="G819" i="5" s="1"/>
  <c r="F115" i="5"/>
  <c r="G115" i="5" s="1"/>
  <c r="F271" i="5"/>
  <c r="F289" i="5"/>
  <c r="G289" i="5" s="1"/>
  <c r="F490" i="5"/>
  <c r="G490" i="5" s="1"/>
  <c r="F517" i="5"/>
  <c r="G517" i="5" s="1"/>
  <c r="F532" i="5"/>
  <c r="G532" i="5" s="1"/>
  <c r="F551" i="5"/>
  <c r="G551" i="5" s="1"/>
  <c r="F558" i="5"/>
  <c r="G558" i="5" s="1"/>
  <c r="F564" i="5"/>
  <c r="G564" i="5" s="1"/>
  <c r="F602" i="5"/>
  <c r="G602" i="5" s="1"/>
  <c r="F621" i="5"/>
  <c r="G621" i="5" s="1"/>
  <c r="F637" i="5"/>
  <c r="G637" i="5" s="1"/>
  <c r="F650" i="5"/>
  <c r="G650" i="5" s="1"/>
  <c r="F708" i="5"/>
  <c r="G708" i="5" s="1"/>
  <c r="G969" i="5"/>
  <c r="F962" i="5"/>
  <c r="G962" i="5"/>
  <c r="F955" i="5"/>
  <c r="G955" i="5"/>
  <c r="F945" i="5"/>
  <c r="G945" i="5"/>
  <c r="G551" i="4"/>
  <c r="G38" i="4"/>
  <c r="C13" i="8" s="1"/>
  <c r="G276" i="4"/>
  <c r="D426" i="4"/>
  <c r="G550" i="4"/>
  <c r="G753" i="4"/>
  <c r="F935" i="5"/>
  <c r="G935" i="5" s="1"/>
  <c r="F923" i="5"/>
  <c r="G923" i="5" s="1"/>
  <c r="F914" i="5"/>
  <c r="G914" i="5" s="1"/>
  <c r="F907" i="5"/>
  <c r="G907" i="5" s="1"/>
  <c r="F900" i="5"/>
  <c r="G900" i="5" s="1"/>
  <c r="F894" i="5"/>
  <c r="G894" i="5" s="1"/>
  <c r="F880" i="5"/>
  <c r="G880" i="5" s="1"/>
  <c r="F855" i="5"/>
  <c r="G855" i="5" s="1"/>
  <c r="F839" i="5"/>
  <c r="G839" i="5" s="1"/>
  <c r="F813" i="5"/>
  <c r="G813" i="5" s="1"/>
  <c r="F807" i="5"/>
  <c r="G807" i="5" s="1"/>
  <c r="F799" i="5"/>
  <c r="G799" i="5" s="1"/>
  <c r="F770" i="5"/>
  <c r="G770" i="5" s="1"/>
  <c r="F759" i="5"/>
  <c r="G759" i="5" s="1"/>
  <c r="F750" i="5"/>
  <c r="G750" i="5" s="1"/>
  <c r="F743" i="5"/>
  <c r="G743" i="5" s="1"/>
  <c r="F717" i="5"/>
  <c r="G717" i="5" s="1"/>
  <c r="F689" i="5"/>
  <c r="G689" i="5" s="1"/>
  <c r="F594" i="5"/>
  <c r="G594" i="5" s="1"/>
  <c r="F581" i="5"/>
  <c r="G581" i="5" s="1"/>
  <c r="F573" i="5"/>
  <c r="G573" i="5" s="1"/>
  <c r="F538" i="5"/>
  <c r="G538" i="5" s="1"/>
  <c r="F523" i="5"/>
  <c r="G523" i="5" s="1"/>
  <c r="F511" i="5"/>
  <c r="G511" i="5" s="1"/>
  <c r="F473" i="5"/>
  <c r="G473" i="5" s="1"/>
  <c r="F444" i="5"/>
  <c r="G444" i="5" s="1"/>
  <c r="F436" i="5"/>
  <c r="G436" i="5" s="1"/>
  <c r="F420" i="5"/>
  <c r="G420" i="5" s="1"/>
  <c r="F413" i="5"/>
  <c r="G413" i="5" s="1"/>
  <c r="F405" i="5"/>
  <c r="G405" i="5" s="1"/>
  <c r="F396" i="5"/>
  <c r="G396" i="5" s="1"/>
  <c r="F386" i="5"/>
  <c r="G386" i="5" s="1"/>
  <c r="G381" i="5"/>
  <c r="F381" i="5"/>
  <c r="F374" i="5"/>
  <c r="G374" i="5" s="1"/>
  <c r="F366" i="5"/>
  <c r="G366" i="5" s="1"/>
  <c r="F360" i="5"/>
  <c r="G360" i="5" s="1"/>
  <c r="F351" i="5"/>
  <c r="G351" i="5" s="1"/>
  <c r="F343" i="5"/>
  <c r="G343" i="5" s="1"/>
  <c r="F335" i="5"/>
  <c r="G335" i="5" s="1"/>
  <c r="F327" i="5"/>
  <c r="G327" i="5" s="1"/>
  <c r="F317" i="5"/>
  <c r="G317" i="5" s="1"/>
  <c r="G271" i="5"/>
  <c r="F266" i="5"/>
  <c r="F256" i="5"/>
  <c r="G256" i="5" s="1"/>
  <c r="F212" i="5"/>
  <c r="G212" i="5" s="1"/>
  <c r="F172" i="5"/>
  <c r="G172" i="5" s="1"/>
  <c r="F156" i="5"/>
  <c r="G156" i="5" s="1"/>
  <c r="F143" i="5"/>
  <c r="G143" i="5" s="1"/>
  <c r="G124" i="5"/>
  <c r="F97" i="5"/>
  <c r="G97" i="5" s="1"/>
  <c r="F88" i="5"/>
  <c r="G88" i="5" s="1"/>
  <c r="F77" i="5"/>
  <c r="G77" i="5" s="1"/>
  <c r="F70" i="5"/>
  <c r="G70" i="5" s="1"/>
  <c r="F58" i="5"/>
  <c r="G58" i="5" s="1"/>
  <c r="F31" i="5"/>
  <c r="G31" i="5" s="1"/>
  <c r="F25" i="5"/>
  <c r="G25" i="5" s="1"/>
  <c r="G1045" i="4"/>
  <c r="C69" i="8" s="1"/>
  <c r="E69" i="8" s="1"/>
  <c r="F69" i="8" s="1"/>
  <c r="D122" i="7" s="1"/>
  <c r="G816" i="4"/>
  <c r="C58" i="8" s="1"/>
  <c r="G492" i="4"/>
  <c r="C42" i="8" s="1"/>
  <c r="G250" i="4"/>
  <c r="C26" i="8" s="1"/>
  <c r="E26" i="8" s="1"/>
  <c r="F26" i="8" s="1"/>
  <c r="D39" i="7" s="1"/>
  <c r="G260" i="4"/>
  <c r="C27" i="8" s="1"/>
  <c r="E27" i="8" s="1"/>
  <c r="F27" i="8" s="1"/>
  <c r="D41" i="7" s="1"/>
  <c r="G111" i="4"/>
  <c r="C19" i="8" s="1"/>
  <c r="E19" i="8" s="1"/>
  <c r="F19" i="8" s="1"/>
  <c r="D26" i="7" s="1"/>
  <c r="F27" i="7" s="1"/>
  <c r="G73" i="4"/>
  <c r="C17" i="8" s="1"/>
  <c r="E13" i="8"/>
  <c r="F13" i="8" s="1"/>
  <c r="E17" i="8"/>
  <c r="F17" i="8" s="1"/>
  <c r="D22" i="7" s="1"/>
  <c r="G28" i="4"/>
  <c r="G69" i="4"/>
  <c r="C16" i="8" s="1"/>
  <c r="C20" i="8"/>
  <c r="G265" i="4"/>
  <c r="G330" i="4"/>
  <c r="C32" i="8" s="1"/>
  <c r="G357" i="4"/>
  <c r="C34" i="8" s="1"/>
  <c r="G363" i="4"/>
  <c r="C35" i="8" s="1"/>
  <c r="G401" i="4"/>
  <c r="E42" i="8"/>
  <c r="F42" i="8" s="1"/>
  <c r="D69" i="7" s="1"/>
  <c r="E748" i="4"/>
  <c r="E1123" i="4"/>
  <c r="E267" i="4"/>
  <c r="E403" i="4"/>
  <c r="E120" i="4"/>
  <c r="E30" i="4"/>
  <c r="E33" i="8"/>
  <c r="F33" i="8" s="1"/>
  <c r="D52" i="7" s="1"/>
  <c r="E10" i="8"/>
  <c r="G222" i="4"/>
  <c r="G192" i="4"/>
  <c r="G44" i="4"/>
  <c r="C14" i="8" s="1"/>
  <c r="G53" i="4"/>
  <c r="C15" i="8" s="1"/>
  <c r="G299" i="4"/>
  <c r="G443" i="4"/>
  <c r="C39" i="8" s="1"/>
  <c r="A6" i="8"/>
  <c r="A5" i="7"/>
  <c r="A8" i="5"/>
  <c r="B513" i="4"/>
  <c r="G532" i="4"/>
  <c r="G785" i="4"/>
  <c r="G837" i="4"/>
  <c r="G825" i="4"/>
  <c r="G738" i="4"/>
  <c r="G746" i="4" s="1"/>
  <c r="G781" i="4"/>
  <c r="G1061" i="4"/>
  <c r="C70" i="8" s="1"/>
  <c r="G791" i="4"/>
  <c r="G757" i="4"/>
  <c r="G720" i="4"/>
  <c r="G1099" i="4"/>
  <c r="E58" i="8"/>
  <c r="F58" i="8" s="1"/>
  <c r="D100" i="7" s="1"/>
  <c r="G916" i="4"/>
  <c r="G940" i="4"/>
  <c r="G1002" i="4"/>
  <c r="G983" i="4"/>
  <c r="G978" i="4"/>
  <c r="G856" i="4"/>
  <c r="G906" i="4"/>
  <c r="G931" i="4"/>
  <c r="G884" i="4"/>
  <c r="G686" i="4"/>
  <c r="G1024" i="4"/>
  <c r="G1020" i="4"/>
  <c r="G955" i="4"/>
  <c r="G927" i="4"/>
  <c r="G879" i="4"/>
  <c r="G661" i="4"/>
  <c r="G872" i="4"/>
  <c r="G946" i="4"/>
  <c r="G680" i="4"/>
  <c r="G674" i="4"/>
  <c r="G971" i="4"/>
  <c r="G847" i="4"/>
  <c r="G655" i="4"/>
  <c r="G693" i="4"/>
  <c r="G662" i="4"/>
  <c r="G995" i="4"/>
  <c r="G1025" i="4"/>
  <c r="G956" i="4"/>
  <c r="G707" i="4"/>
  <c r="G668" i="4"/>
  <c r="G1003" i="4"/>
  <c r="G984" i="4"/>
  <c r="G857" i="4"/>
  <c r="G907" i="4"/>
  <c r="G685" i="4"/>
  <c r="G932" i="4"/>
  <c r="G885" i="4"/>
  <c r="A4" i="8"/>
  <c r="A4" i="7"/>
  <c r="A7" i="5"/>
  <c r="G1086" i="4"/>
  <c r="C71" i="8" s="1"/>
  <c r="G1095" i="4"/>
  <c r="G777" i="4"/>
  <c r="G782" i="4" s="1"/>
  <c r="C56" i="8" s="1"/>
  <c r="G721" i="4"/>
  <c r="G836" i="4"/>
  <c r="G795" i="4"/>
  <c r="G761" i="4"/>
  <c r="G1116" i="4"/>
  <c r="G824" i="4"/>
  <c r="G724" i="4"/>
  <c r="G734" i="4" s="1"/>
  <c r="C52" i="8" s="1"/>
  <c r="G929" i="4"/>
  <c r="G903" i="4"/>
  <c r="G683" i="4"/>
  <c r="G1022" i="4"/>
  <c r="G953" i="4"/>
  <c r="G882" i="4"/>
  <c r="G701" i="4"/>
  <c r="G1000" i="4"/>
  <c r="G981" i="4"/>
  <c r="G854" i="4"/>
  <c r="G665" i="4"/>
  <c r="G644" i="4"/>
  <c r="G933" i="4"/>
  <c r="G1026" i="4"/>
  <c r="G688" i="4"/>
  <c r="G1004" i="4"/>
  <c r="G908" i="4"/>
  <c r="G667" i="4"/>
  <c r="G128" i="5"/>
  <c r="G705" i="4" s="1"/>
  <c r="F193" i="5"/>
  <c r="G193" i="5" s="1"/>
  <c r="F218" i="5"/>
  <c r="G218" i="5" s="1"/>
  <c r="G90" i="4" s="1"/>
  <c r="G266" i="5"/>
  <c r="F283" i="5"/>
  <c r="G283" i="5" s="1"/>
  <c r="F726" i="5"/>
  <c r="G726" i="5" s="1"/>
  <c r="G894" i="4"/>
  <c r="G1033" i="4"/>
  <c r="G244" i="5"/>
  <c r="F248" i="5" s="1"/>
  <c r="G248" i="5" s="1"/>
  <c r="G221" i="5"/>
  <c r="F224" i="5" s="1"/>
  <c r="G224" i="5" s="1"/>
  <c r="G274" i="5"/>
  <c r="G277" i="5" s="1"/>
  <c r="G238" i="5"/>
  <c r="F241" i="5" s="1"/>
  <c r="G241" i="5" s="1"/>
  <c r="G305" i="5"/>
  <c r="F310" i="5" s="1"/>
  <c r="G228" i="5"/>
  <c r="F235" i="5" s="1"/>
  <c r="G235" i="5" s="1"/>
  <c r="G294" i="5"/>
  <c r="G300" i="5" s="1"/>
  <c r="G200" i="4" s="1"/>
  <c r="F969" i="5"/>
  <c r="F300" i="5" l="1"/>
  <c r="G170" i="4" s="1"/>
  <c r="G1112" i="4"/>
  <c r="C72" i="8" s="1"/>
  <c r="E72" i="8" s="1"/>
  <c r="F72" i="8" s="1"/>
  <c r="D128" i="7" s="1"/>
  <c r="G766" i="4"/>
  <c r="C55" i="8" s="1"/>
  <c r="E55" i="8" s="1"/>
  <c r="F55" i="8" s="1"/>
  <c r="D94" i="7" s="1"/>
  <c r="E52" i="8"/>
  <c r="F52" i="8" s="1"/>
  <c r="D89" i="7" s="1"/>
  <c r="G101" i="7"/>
  <c r="I101" i="7"/>
  <c r="H101" i="7"/>
  <c r="G197" i="4"/>
  <c r="G164" i="4"/>
  <c r="H123" i="7"/>
  <c r="J123" i="7"/>
  <c r="I123" i="7"/>
  <c r="H53" i="7"/>
  <c r="G53" i="7"/>
  <c r="H42" i="7"/>
  <c r="G42" i="7"/>
  <c r="F42" i="7"/>
  <c r="E56" i="8"/>
  <c r="F56" i="8" s="1"/>
  <c r="D96" i="7" s="1"/>
  <c r="G40" i="7"/>
  <c r="F40" i="7"/>
  <c r="H40" i="7"/>
  <c r="D14" i="7"/>
  <c r="G1015" i="4"/>
  <c r="G921" i="4"/>
  <c r="G874" i="4"/>
  <c r="G948" i="4"/>
  <c r="G899" i="4"/>
  <c r="G679" i="4"/>
  <c r="G973" i="4"/>
  <c r="G849" i="4"/>
  <c r="G867" i="4" s="1"/>
  <c r="C61" i="8" s="1"/>
  <c r="G698" i="4"/>
  <c r="G711" i="4" s="1"/>
  <c r="C51" i="8" s="1"/>
  <c r="G660" i="4"/>
  <c r="G997" i="4"/>
  <c r="G1012" i="4" s="1"/>
  <c r="C67" i="8" s="1"/>
  <c r="G578" i="4"/>
  <c r="G546" i="4"/>
  <c r="G523" i="4"/>
  <c r="G272" i="4"/>
  <c r="G199" i="4"/>
  <c r="G145" i="4"/>
  <c r="G449" i="4"/>
  <c r="G296" i="4"/>
  <c r="G166" i="4"/>
  <c r="G613" i="4"/>
  <c r="G631" i="4" s="1"/>
  <c r="C47" i="8" s="1"/>
  <c r="G411" i="4"/>
  <c r="G638" i="4"/>
  <c r="G653" i="4" s="1"/>
  <c r="C48" i="8" s="1"/>
  <c r="G498" i="4"/>
  <c r="G125" i="4"/>
  <c r="G142" i="4" s="1"/>
  <c r="C22" i="8" s="1"/>
  <c r="G672" i="4"/>
  <c r="C49" i="8" s="1"/>
  <c r="E70" i="8"/>
  <c r="F70" i="8" s="1"/>
  <c r="D124" i="7" s="1"/>
  <c r="C53" i="8"/>
  <c r="E14" i="8"/>
  <c r="F14" i="8" s="1"/>
  <c r="D16" i="7" s="1"/>
  <c r="E17" i="7" s="1"/>
  <c r="I70" i="7"/>
  <c r="H70" i="7"/>
  <c r="G70" i="7"/>
  <c r="C36" i="8"/>
  <c r="E16" i="8"/>
  <c r="F16" i="8" s="1"/>
  <c r="D20" i="7" s="1"/>
  <c r="G23" i="7"/>
  <c r="F23" i="7"/>
  <c r="G1021" i="4"/>
  <c r="G524" i="4"/>
  <c r="G302" i="4"/>
  <c r="G280" i="4"/>
  <c r="G979" i="4"/>
  <c r="G967" i="4"/>
  <c r="G949" i="4"/>
  <c r="G850" i="4"/>
  <c r="G928" i="4"/>
  <c r="G880" i="4"/>
  <c r="G504" i="4"/>
  <c r="G451" i="4"/>
  <c r="G584" i="4"/>
  <c r="G418" i="4"/>
  <c r="G556" i="4"/>
  <c r="G1114" i="4"/>
  <c r="G1121" i="4" s="1"/>
  <c r="G823" i="4"/>
  <c r="G828" i="4" s="1"/>
  <c r="G835" i="4"/>
  <c r="G840" i="4" s="1"/>
  <c r="C60" i="8" s="1"/>
  <c r="G80" i="4"/>
  <c r="G96" i="4" s="1"/>
  <c r="G475" i="4"/>
  <c r="G480" i="4" s="1"/>
  <c r="C41" i="8" s="1"/>
  <c r="G919" i="4"/>
  <c r="G941" i="4" s="1"/>
  <c r="C64" i="8" s="1"/>
  <c r="G897" i="4"/>
  <c r="G917" i="4" s="1"/>
  <c r="C63" i="8" s="1"/>
  <c r="G800" i="4"/>
  <c r="C57" i="8" s="1"/>
  <c r="E35" i="8"/>
  <c r="F35" i="8" s="1"/>
  <c r="D56" i="7" s="1"/>
  <c r="C28" i="8"/>
  <c r="C11" i="8"/>
  <c r="J29" i="4"/>
  <c r="G29" i="4"/>
  <c r="G301" i="4"/>
  <c r="G281" i="4"/>
  <c r="F10" i="8"/>
  <c r="E34" i="8"/>
  <c r="F34" i="8" s="1"/>
  <c r="D54" i="7" s="1"/>
  <c r="G214" i="4"/>
  <c r="G184" i="4"/>
  <c r="G310" i="5"/>
  <c r="E71" i="8"/>
  <c r="F71" i="8" s="1"/>
  <c r="D126" i="7" s="1"/>
  <c r="G691" i="4"/>
  <c r="C50" i="8" s="1"/>
  <c r="E39" i="8"/>
  <c r="F39" i="8" s="1"/>
  <c r="D63" i="7" s="1"/>
  <c r="E15" i="8"/>
  <c r="F15" i="8" s="1"/>
  <c r="D18" i="7" s="1"/>
  <c r="E32" i="8"/>
  <c r="F32" i="8" s="1"/>
  <c r="D50" i="7" s="1"/>
  <c r="E20" i="8"/>
  <c r="F20" i="8" s="1"/>
  <c r="D28" i="7" s="1"/>
  <c r="G965" i="4" l="1"/>
  <c r="C65" i="8" s="1"/>
  <c r="E65" i="8" s="1"/>
  <c r="F65" i="8" s="1"/>
  <c r="D114" i="7" s="1"/>
  <c r="G895" i="4"/>
  <c r="C62" i="8" s="1"/>
  <c r="H429" i="4"/>
  <c r="G29" i="7"/>
  <c r="F29" i="7"/>
  <c r="G55" i="7"/>
  <c r="H55" i="7"/>
  <c r="I95" i="7"/>
  <c r="H95" i="7"/>
  <c r="G95" i="7"/>
  <c r="H127" i="7"/>
  <c r="J127" i="7"/>
  <c r="I127" i="7"/>
  <c r="E67" i="8"/>
  <c r="F67" i="8" s="1"/>
  <c r="D118" i="7" s="1"/>
  <c r="H51" i="7"/>
  <c r="G51" i="7"/>
  <c r="E61" i="8"/>
  <c r="F61" i="8" s="1"/>
  <c r="D106" i="7" s="1"/>
  <c r="J129" i="7"/>
  <c r="I129" i="7"/>
  <c r="H129" i="7"/>
  <c r="J125" i="7"/>
  <c r="I125" i="7"/>
  <c r="H125" i="7"/>
  <c r="E62" i="8"/>
  <c r="F62" i="8" s="1"/>
  <c r="D108" i="7" s="1"/>
  <c r="I90" i="7"/>
  <c r="H90" i="7"/>
  <c r="G90" i="7"/>
  <c r="E50" i="8"/>
  <c r="F50" i="8" s="1"/>
  <c r="D85" i="7" s="1"/>
  <c r="E28" i="8"/>
  <c r="F28" i="8" s="1"/>
  <c r="D43" i="7" s="1"/>
  <c r="G30" i="4"/>
  <c r="G31" i="4" s="1"/>
  <c r="E64" i="8"/>
  <c r="F64" i="8" s="1"/>
  <c r="D112" i="7" s="1"/>
  <c r="C59" i="8"/>
  <c r="F21" i="7"/>
  <c r="E21" i="7"/>
  <c r="E53" i="8"/>
  <c r="F53" i="8" s="1"/>
  <c r="D91" i="7" s="1"/>
  <c r="E49" i="8"/>
  <c r="F49" i="8" s="1"/>
  <c r="D83" i="7" s="1"/>
  <c r="E48" i="8"/>
  <c r="F48" i="8" s="1"/>
  <c r="D81" i="7" s="1"/>
  <c r="G317" i="4"/>
  <c r="G293" i="4"/>
  <c r="C30" i="8" s="1"/>
  <c r="G97" i="7"/>
  <c r="I97" i="7"/>
  <c r="H97" i="7"/>
  <c r="E51" i="8"/>
  <c r="F51" i="8" s="1"/>
  <c r="D87" i="7" s="1"/>
  <c r="G579" i="4"/>
  <c r="G547" i="4"/>
  <c r="D9" i="7"/>
  <c r="L9" i="7" s="1"/>
  <c r="E41" i="8"/>
  <c r="F41" i="8" s="1"/>
  <c r="D67" i="7" s="1"/>
  <c r="C73" i="8"/>
  <c r="G429" i="4"/>
  <c r="C38" i="8" s="1"/>
  <c r="G463" i="4"/>
  <c r="C40" i="8" s="1"/>
  <c r="G539" i="4"/>
  <c r="C44" i="8" s="1"/>
  <c r="G193" i="4"/>
  <c r="C24" i="8" s="1"/>
  <c r="F19" i="7"/>
  <c r="E19" i="7"/>
  <c r="E11" i="8"/>
  <c r="F11" i="8" s="1"/>
  <c r="E57" i="8"/>
  <c r="F57" i="8" s="1"/>
  <c r="D98" i="7" s="1"/>
  <c r="C18" i="8"/>
  <c r="G119" i="4"/>
  <c r="E22" i="8"/>
  <c r="F22" i="8" s="1"/>
  <c r="E47" i="8"/>
  <c r="F47" i="8" s="1"/>
  <c r="D79" i="7" s="1"/>
  <c r="H160" i="4"/>
  <c r="G160" i="4"/>
  <c r="C23" i="8" s="1"/>
  <c r="G571" i="4"/>
  <c r="C45" i="8" s="1"/>
  <c r="G1034" i="4"/>
  <c r="C68" i="8" s="1"/>
  <c r="G223" i="4"/>
  <c r="H64" i="7"/>
  <c r="G64" i="7"/>
  <c r="H57" i="7"/>
  <c r="G57" i="7"/>
  <c r="E63" i="8"/>
  <c r="F63" i="8" s="1"/>
  <c r="D110" i="7" s="1"/>
  <c r="E60" i="8"/>
  <c r="F60" i="8" s="1"/>
  <c r="D104" i="7" s="1"/>
  <c r="G993" i="4"/>
  <c r="C66" i="8" s="1"/>
  <c r="E36" i="8"/>
  <c r="F36" i="8" s="1"/>
  <c r="D58" i="7" s="1"/>
  <c r="G516" i="4"/>
  <c r="C43" i="8" s="1"/>
  <c r="G606" i="4"/>
  <c r="C46" i="8" s="1"/>
  <c r="E15" i="7"/>
  <c r="F15" i="7"/>
  <c r="H92" i="7" l="1"/>
  <c r="G92" i="7"/>
  <c r="I92" i="7"/>
  <c r="I86" i="7"/>
  <c r="H86" i="7"/>
  <c r="G86" i="7"/>
  <c r="H109" i="7"/>
  <c r="J109" i="7"/>
  <c r="I109" i="7"/>
  <c r="I99" i="7"/>
  <c r="H99" i="7"/>
  <c r="G99" i="7"/>
  <c r="H59" i="7"/>
  <c r="G59" i="7"/>
  <c r="I82" i="7"/>
  <c r="H82" i="7"/>
  <c r="G82" i="7"/>
  <c r="G105" i="7"/>
  <c r="I105" i="7"/>
  <c r="H105" i="7"/>
  <c r="D11" i="7"/>
  <c r="H68" i="7"/>
  <c r="G68" i="7"/>
  <c r="I68" i="7"/>
  <c r="H88" i="7"/>
  <c r="G88" i="7"/>
  <c r="I88" i="7"/>
  <c r="G44" i="7"/>
  <c r="F44" i="7"/>
  <c r="H44" i="7"/>
  <c r="H115" i="7"/>
  <c r="J115" i="7"/>
  <c r="I115" i="7"/>
  <c r="E46" i="8"/>
  <c r="F46" i="8" s="1"/>
  <c r="D77" i="7" s="1"/>
  <c r="C25" i="8"/>
  <c r="J197" i="4"/>
  <c r="J1122" i="4" s="1"/>
  <c r="L1122" i="4" s="1"/>
  <c r="G266" i="4"/>
  <c r="D31" i="7"/>
  <c r="F18" i="8"/>
  <c r="E18" i="8"/>
  <c r="E44" i="8"/>
  <c r="F44" i="8" s="1"/>
  <c r="D73" i="7" s="1"/>
  <c r="E73" i="8"/>
  <c r="F73" i="8" s="1"/>
  <c r="D130" i="7" s="1"/>
  <c r="J113" i="7"/>
  <c r="I113" i="7"/>
  <c r="H113" i="7"/>
  <c r="E43" i="8"/>
  <c r="F43" i="8" s="1"/>
  <c r="D71" i="7" s="1"/>
  <c r="G747" i="4"/>
  <c r="E68" i="8"/>
  <c r="F68" i="8" s="1"/>
  <c r="D120" i="7" s="1"/>
  <c r="E40" i="8"/>
  <c r="F40" i="8" s="1"/>
  <c r="D65" i="7" s="1"/>
  <c r="E30" i="8"/>
  <c r="F30" i="8" s="1"/>
  <c r="H119" i="7"/>
  <c r="I119" i="7"/>
  <c r="J119" i="7"/>
  <c r="E66" i="8"/>
  <c r="F66" i="8" s="1"/>
  <c r="D116" i="7" s="1"/>
  <c r="E45" i="8"/>
  <c r="F45" i="8" s="1"/>
  <c r="D75" i="7" s="1"/>
  <c r="E38" i="8"/>
  <c r="F38" i="8" s="1"/>
  <c r="D61" i="7" s="1"/>
  <c r="C31" i="8"/>
  <c r="C74" i="8" s="1"/>
  <c r="G402" i="4"/>
  <c r="J883" i="4"/>
  <c r="H111" i="7"/>
  <c r="J111" i="7"/>
  <c r="I111" i="7"/>
  <c r="E23" i="8"/>
  <c r="F23" i="8" s="1"/>
  <c r="H80" i="7"/>
  <c r="G80" i="7"/>
  <c r="I80" i="7"/>
  <c r="G120" i="4"/>
  <c r="G121" i="4" s="1"/>
  <c r="E24" i="8"/>
  <c r="F24" i="8" s="1"/>
  <c r="D35" i="7" s="1"/>
  <c r="G1122" i="4"/>
  <c r="H84" i="7"/>
  <c r="G84" i="7"/>
  <c r="I84" i="7"/>
  <c r="E59" i="8"/>
  <c r="F59" i="8" s="1"/>
  <c r="D102" i="7" s="1"/>
  <c r="J107" i="7"/>
  <c r="I107" i="7"/>
  <c r="H107" i="7"/>
  <c r="G62" i="7" l="1"/>
  <c r="H62" i="7"/>
  <c r="H66" i="7"/>
  <c r="G66" i="7"/>
  <c r="H72" i="7"/>
  <c r="G72" i="7"/>
  <c r="I72" i="7"/>
  <c r="H76" i="7"/>
  <c r="G76" i="7"/>
  <c r="I76" i="7"/>
  <c r="G36" i="7"/>
  <c r="F36" i="7"/>
  <c r="H36" i="7"/>
  <c r="I78" i="7"/>
  <c r="H78" i="7"/>
  <c r="G78" i="7"/>
  <c r="J117" i="7"/>
  <c r="I117" i="7"/>
  <c r="H117" i="7"/>
  <c r="I74" i="7"/>
  <c r="H74" i="7"/>
  <c r="G74" i="7"/>
  <c r="D33" i="7"/>
  <c r="C75" i="8"/>
  <c r="C76" i="8" s="1"/>
  <c r="D19" i="8"/>
  <c r="C26" i="7" s="1"/>
  <c r="D69" i="8"/>
  <c r="C122" i="7" s="1"/>
  <c r="D17" i="8"/>
  <c r="C22" i="7" s="1"/>
  <c r="D42" i="8"/>
  <c r="C69" i="7" s="1"/>
  <c r="D13" i="8"/>
  <c r="C14" i="7" s="1"/>
  <c r="D10" i="8"/>
  <c r="D27" i="8"/>
  <c r="C41" i="7" s="1"/>
  <c r="D26" i="8"/>
  <c r="C39" i="7" s="1"/>
  <c r="D33" i="8"/>
  <c r="C52" i="7" s="1"/>
  <c r="D58" i="8"/>
  <c r="C100" i="7" s="1"/>
  <c r="D72" i="8"/>
  <c r="C128" i="7" s="1"/>
  <c r="D55" i="8"/>
  <c r="C94" i="7" s="1"/>
  <c r="D52" i="8"/>
  <c r="C89" i="7" s="1"/>
  <c r="D34" i="8"/>
  <c r="C54" i="7" s="1"/>
  <c r="D71" i="8"/>
  <c r="C126" i="7" s="1"/>
  <c r="D32" i="8"/>
  <c r="C50" i="7" s="1"/>
  <c r="D56" i="8"/>
  <c r="C96" i="7" s="1"/>
  <c r="D70" i="8"/>
  <c r="C124" i="7" s="1"/>
  <c r="D16" i="8"/>
  <c r="C20" i="7" s="1"/>
  <c r="D35" i="8"/>
  <c r="C56" i="7" s="1"/>
  <c r="D39" i="8"/>
  <c r="C63" i="7" s="1"/>
  <c r="D20" i="8"/>
  <c r="C28" i="7" s="1"/>
  <c r="D14" i="8"/>
  <c r="C16" i="7" s="1"/>
  <c r="D15" i="8"/>
  <c r="C18" i="7" s="1"/>
  <c r="D67" i="8"/>
  <c r="C118" i="7" s="1"/>
  <c r="D53" i="8"/>
  <c r="C91" i="7" s="1"/>
  <c r="D41" i="8"/>
  <c r="C67" i="7" s="1"/>
  <c r="D57" i="8"/>
  <c r="C98" i="7" s="1"/>
  <c r="D60" i="8"/>
  <c r="C104" i="7" s="1"/>
  <c r="D62" i="8"/>
  <c r="C108" i="7" s="1"/>
  <c r="D51" i="8"/>
  <c r="C87" i="7" s="1"/>
  <c r="D11" i="8"/>
  <c r="C11" i="7" s="1"/>
  <c r="D36" i="8"/>
  <c r="C58" i="7" s="1"/>
  <c r="D47" i="8"/>
  <c r="C79" i="7" s="1"/>
  <c r="D63" i="8"/>
  <c r="C110" i="7" s="1"/>
  <c r="D65" i="8"/>
  <c r="C114" i="7" s="1"/>
  <c r="D64" i="8"/>
  <c r="C112" i="7" s="1"/>
  <c r="D22" i="8"/>
  <c r="C31" i="7" s="1"/>
  <c r="D61" i="8"/>
  <c r="C106" i="7" s="1"/>
  <c r="D50" i="8"/>
  <c r="C85" i="7" s="1"/>
  <c r="D28" i="8"/>
  <c r="C43" i="7" s="1"/>
  <c r="D49" i="8"/>
  <c r="C83" i="7" s="1"/>
  <c r="D48" i="8"/>
  <c r="C81" i="7" s="1"/>
  <c r="D44" i="8"/>
  <c r="C73" i="7" s="1"/>
  <c r="D40" i="8"/>
  <c r="C65" i="7" s="1"/>
  <c r="D38" i="8"/>
  <c r="C61" i="7" s="1"/>
  <c r="D24" i="8"/>
  <c r="C35" i="7" s="1"/>
  <c r="D45" i="8"/>
  <c r="C75" i="7" s="1"/>
  <c r="D23" i="8"/>
  <c r="C33" i="7" s="1"/>
  <c r="D46" i="8"/>
  <c r="C77" i="7" s="1"/>
  <c r="D18" i="8"/>
  <c r="C24" i="7" s="1"/>
  <c r="D68" i="8"/>
  <c r="C120" i="7" s="1"/>
  <c r="D59" i="8"/>
  <c r="C102" i="7" s="1"/>
  <c r="D73" i="8"/>
  <c r="C130" i="7" s="1"/>
  <c r="D43" i="8"/>
  <c r="C71" i="7" s="1"/>
  <c r="D30" i="8"/>
  <c r="C46" i="7" s="1"/>
  <c r="D66" i="8"/>
  <c r="C116" i="7" s="1"/>
  <c r="I103" i="7"/>
  <c r="H103" i="7"/>
  <c r="G103" i="7"/>
  <c r="G748" i="4"/>
  <c r="G749" i="4" s="1"/>
  <c r="I131" i="7"/>
  <c r="H131" i="7"/>
  <c r="J131" i="7"/>
  <c r="D24" i="7"/>
  <c r="G403" i="4"/>
  <c r="G404" i="4" s="1"/>
  <c r="J121" i="7"/>
  <c r="H121" i="7"/>
  <c r="I121" i="7"/>
  <c r="F32" i="7"/>
  <c r="E32" i="7"/>
  <c r="E25" i="8"/>
  <c r="D25" i="8"/>
  <c r="C37" i="7" s="1"/>
  <c r="G1123" i="4"/>
  <c r="G1124" i="4" s="1"/>
  <c r="E31" i="8"/>
  <c r="F31" i="8" s="1"/>
  <c r="D48" i="7" s="1"/>
  <c r="D31" i="8"/>
  <c r="C48" i="7" s="1"/>
  <c r="D46" i="7"/>
  <c r="G267" i="4"/>
  <c r="G268" i="4" s="1"/>
  <c r="L10" i="7"/>
  <c r="E74" i="8" l="1"/>
  <c r="F25" i="8"/>
  <c r="E12" i="7"/>
  <c r="E132" i="7" s="1"/>
  <c r="F1127" i="4"/>
  <c r="F12" i="7"/>
  <c r="H47" i="7"/>
  <c r="G47" i="7"/>
  <c r="F47" i="7"/>
  <c r="D74" i="8"/>
  <c r="C9" i="7"/>
  <c r="C132" i="7" s="1"/>
  <c r="F49" i="7"/>
  <c r="H49" i="7"/>
  <c r="G49" i="7"/>
  <c r="F34" i="7"/>
  <c r="I34" i="7"/>
  <c r="H34" i="7"/>
  <c r="G34" i="7"/>
  <c r="F25" i="7"/>
  <c r="G25" i="7"/>
  <c r="D37" i="7" l="1"/>
  <c r="F74" i="8"/>
  <c r="G12" i="7"/>
  <c r="F38" i="7" l="1"/>
  <c r="F132" i="7" s="1"/>
  <c r="D132" i="7"/>
  <c r="E10" i="7" s="1"/>
  <c r="E133" i="7" s="1"/>
  <c r="G38" i="7"/>
  <c r="G132" i="7" s="1"/>
  <c r="H38" i="7"/>
  <c r="H12" i="7"/>
  <c r="G10" i="7" l="1"/>
  <c r="G133" i="7" s="1"/>
  <c r="F10" i="7"/>
  <c r="F133" i="7" s="1"/>
  <c r="H132" i="7"/>
  <c r="H10" i="7" s="1"/>
  <c r="H133" i="7" s="1"/>
  <c r="I12" i="7"/>
  <c r="I132" i="7" s="1"/>
  <c r="J12" i="7" l="1"/>
  <c r="J132" i="7" s="1"/>
  <c r="K11" i="7"/>
  <c r="K12" i="7" s="1"/>
  <c r="J10" i="7" l="1"/>
  <c r="J133" i="7" s="1"/>
  <c r="I10" i="7"/>
  <c r="I133" i="7" s="1"/>
  <c r="K9" i="7" l="1"/>
</calcChain>
</file>

<file path=xl/comments1.xml><?xml version="1.0" encoding="utf-8"?>
<comments xmlns="http://schemas.openxmlformats.org/spreadsheetml/2006/main">
  <authors>
    <author/>
  </authors>
  <commentList>
    <comment ref="H587" authorId="0" shapeId="0">
      <text>
        <r>
          <rPr>
            <sz val="11"/>
            <color rgb="FF000000"/>
            <rFont val="Calibri"/>
          </rPr>
          <t>======
ID#AAAADvTPb4o
Izabel Cristina de Oliveira Campos    (2019-11-06 20:21:36)
parei aqui 06-11</t>
        </r>
      </text>
    </comment>
    <comment ref="D862" authorId="0" shapeId="0">
      <text>
        <r>
          <rPr>
            <sz val="11"/>
            <color rgb="FF000000"/>
            <rFont val="Calibri"/>
          </rPr>
          <t>======
ID#AAAADtxmKuM
Rudney Ferreira de Araújo    (2019-10-25 15:54:45)
VERIFICAR NO CAMPUS QUAL TIPO</t>
        </r>
      </text>
    </comment>
    <comment ref="D890" authorId="0" shapeId="0">
      <text>
        <r>
          <rPr>
            <sz val="11"/>
            <color rgb="FF000000"/>
            <rFont val="Calibri"/>
          </rPr>
          <t>======
ID#AAAADtxmLRc
Rudney Ferreira de Araújo    (2019-10-25 16:57:18)
VERIFICAR MODELO DO CAMPUS</t>
        </r>
      </text>
    </comment>
    <comment ref="H1053" authorId="0" shapeId="0">
      <text>
        <r>
          <rPr>
            <sz val="11"/>
            <color rgb="FF000000"/>
            <rFont val="Calibri"/>
          </rPr>
          <t>======
ID#AAAADwb47wE
Izabel Cristina de Oliveira Campos    (2019-11-13 18:33:03)
REVER ESTA COMPOSIÇÃO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JZYGNHiRH+Khiu/+k7OcIv5dolw=="/>
    </ext>
  </extLst>
</comments>
</file>

<file path=xl/comments2.xml><?xml version="1.0" encoding="utf-8"?>
<comments xmlns="http://schemas.openxmlformats.org/spreadsheetml/2006/main">
  <authors>
    <author/>
  </authors>
  <commentList>
    <comment ref="D102" authorId="0" shapeId="0">
      <text>
        <r>
          <rPr>
            <sz val="11"/>
            <color rgb="FF000000"/>
            <rFont val="Calibri"/>
          </rPr>
          <t>======
ID#AAAADtexxC0
Izabel Cristina de Oliveira Campos    (2019-10-24 15:24:28)
ter que ser de alavanca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QJOjN9RTqPZ5MbKbrT+goDFz+A=="/>
    </ext>
  </extLst>
</comments>
</file>

<file path=xl/sharedStrings.xml><?xml version="1.0" encoding="utf-8"?>
<sst xmlns="http://schemas.openxmlformats.org/spreadsheetml/2006/main" count="3921" uniqueCount="808">
  <si>
    <t xml:space="preserve"> BONIFICAÇÃO E DESPESAS INDIRETAS</t>
  </si>
  <si>
    <t>DISCRIMINAÇÃO</t>
  </si>
  <si>
    <r>
      <t xml:space="preserve">B.D.I.         </t>
    </r>
    <r>
      <rPr>
        <b/>
        <sz val="9"/>
        <color rgb="FF000000"/>
        <rFont val="Arial"/>
      </rPr>
      <t xml:space="preserve">    edificação</t>
    </r>
  </si>
  <si>
    <t>INSTITUTO FEDERAL DE BRASÍLIA</t>
  </si>
  <si>
    <t>Taxas Gerais: TG = [1+(AC/100)]x[1+(DF/100)]x[1+(R/100)]x[1+(L/100)]</t>
  </si>
  <si>
    <t>TG</t>
  </si>
  <si>
    <t>1.1</t>
  </si>
  <si>
    <t>Rateio da Administração Central</t>
  </si>
  <si>
    <t>AC</t>
  </si>
  <si>
    <t>%</t>
  </si>
  <si>
    <t>1.2</t>
  </si>
  <si>
    <t>Despesas Financeiras</t>
  </si>
  <si>
    <t>CAMPUS GAMA</t>
  </si>
  <si>
    <t>DF</t>
  </si>
  <si>
    <t>1.3</t>
  </si>
  <si>
    <t>Riscos, Seguro e Garantia do Empreendimento</t>
  </si>
  <si>
    <t>R</t>
  </si>
  <si>
    <t>Lucro</t>
  </si>
  <si>
    <t>L</t>
  </si>
  <si>
    <t>Impostos : I = (i°+i¹+i²+i³)</t>
  </si>
  <si>
    <t>I</t>
  </si>
  <si>
    <t>2.1</t>
  </si>
  <si>
    <t>COFINS</t>
  </si>
  <si>
    <t>i°</t>
  </si>
  <si>
    <t>2.2</t>
  </si>
  <si>
    <t>ISS</t>
  </si>
  <si>
    <t>i¹</t>
  </si>
  <si>
    <t>2.3</t>
  </si>
  <si>
    <t>PIS</t>
  </si>
  <si>
    <t>i²</t>
  </si>
  <si>
    <t>PLANILHA ORÇAMENTÁRIA, CRONOGRAMA FÍSICO-FINANCEIRO</t>
  </si>
  <si>
    <t>2.4</t>
  </si>
  <si>
    <t>Outros</t>
  </si>
  <si>
    <t>i³</t>
  </si>
  <si>
    <t>E COMPOSIÇÃO DE CUSTOS UNITÁRIOS</t>
  </si>
  <si>
    <t xml:space="preserve">B.D.I. presumido = { [TG / ( 1 - ( I / 100 )) ] - 1 } x 100 </t>
  </si>
  <si>
    <t xml:space="preserve">     Cálculo base na composição do BDI conforme acórdão TCU 2622/2013 Plenário. Relator Ministro Marcos Bemquerer Costa. Brasília, 25 setembro de 2013.</t>
  </si>
  <si>
    <t xml:space="preserve">     Súmula 253/2010 - Tribunal de Contas da União    </t>
  </si>
  <si>
    <t xml:space="preserve">    "Comprovada a inviabilidade técnico-econômica de parcelamento do objeto da licitação, nos termos da legislação em vigor, os itens de fornecimento de materiais e equipamentos de natureza específica que possam ser fornecidos por empresas com especialidades próprias e diversas e que representem percentual significativo do preço global da obra devem apresentar incidência de taxa de Bonificação e Despesas Indiretas - BDI reduzida em relação à taxa aplicável aos demais itens."</t>
  </si>
  <si>
    <t>____________________________________________________________</t>
  </si>
  <si>
    <t>ORÇAMENTO SINTÉTICO</t>
  </si>
  <si>
    <t xml:space="preserve"> </t>
  </si>
  <si>
    <t>Àrea de construção (m²): 10245,31</t>
  </si>
  <si>
    <t>ITEM</t>
  </si>
  <si>
    <t>CÓDIGO</t>
  </si>
  <si>
    <t>UND</t>
  </si>
  <si>
    <t>DESCRIÇÃO</t>
  </si>
  <si>
    <t xml:space="preserve"> QUANTIDADE </t>
  </si>
  <si>
    <t xml:space="preserve"> PREÇO UNITÁRIO (R$) </t>
  </si>
  <si>
    <t xml:space="preserve"> PREÇO TOTAL (R$) </t>
  </si>
  <si>
    <t xml:space="preserve">ADMINISTRAÇÃO DA OBRA </t>
  </si>
  <si>
    <t>H</t>
  </si>
  <si>
    <t>ENGENHEIRO CIVIL DE OBRA PLENO COM ENCARGOS COMPLEMENTARES</t>
  </si>
  <si>
    <t>MÊS</t>
  </si>
  <si>
    <t>MESTRE DE OBRAS COM ENCARGOS COMPLEMENTARES</t>
  </si>
  <si>
    <t>TOTAL ADMINISTRAÇÃO DA OBRA</t>
  </si>
  <si>
    <t>SERVIÇOS PRELIMINARES E SERVIÇOS GERAIS</t>
  </si>
  <si>
    <t>KW/H</t>
  </si>
  <si>
    <t>CONSUMO DE ENERGIA - TARIFA DE ENERGIA ELETRICA COMERCIAL, BAIXA TENSAO, RELATIVA AO CONSUMO DE ATE 100 KWH, INCLUINDO ICMS, PIS/PASEP E COFINS</t>
  </si>
  <si>
    <t>10559/ORSE</t>
  </si>
  <si>
    <t>M²</t>
  </si>
  <si>
    <t>CÓPIAS DE DESENHOS (PLOTAGENS E ARTS)</t>
  </si>
  <si>
    <t>LOCACAO DE ANDAIME METALICO TIPO FACHADEIRO, LARGURA DE 1,20 M, ALTURA POR PECA DE 2,0 M, INCLUINDO SAPATAS E ITENS NECESSARIOS A INSTALACAO</t>
  </si>
  <si>
    <t>MES</t>
  </si>
  <si>
    <t>LOCACAO DE CONTAINER 2,30 X 6,00 M, ALT. 2,50 M, PARA ESCRITORIO, SEM DIVISORIAS INTERNAS E SEM SANITARIO ( Refeitório 1)</t>
  </si>
  <si>
    <t>LOCACAO DE CONTAINER 2,30 X 6,00 M, ALT. 2,50 M, PARA ESCRITORIO, SEM DIVISORIAS INTERNAS E SEM SANITARIO ( Refeitório 2)</t>
  </si>
  <si>
    <t>LOCACAO DE CONTAINER 2,30 X 6,00 M, ALT. 2,50 M, PARA ESCRITORIO, SEM DIVISORIAS INTERNAS E SEM SANITARIO</t>
  </si>
  <si>
    <t>LOCACAO DE CONTAINER 2,30 X 6,00 M, ALT. 2,50 M, PARA SANITARIO, COM 4 BACIAS, 8 CHUVEIROS,1 LAVATORIO E 1 MICTORIO</t>
  </si>
  <si>
    <t>74209/001</t>
  </si>
  <si>
    <t>PLACA DE OBRA EM CHAPA DE AÇO GALVANIZADO</t>
  </si>
  <si>
    <t>M</t>
  </si>
  <si>
    <t>SINALIZAÇÃO COM FITA FIXADA EM CONE PLÁSTICO, INCLUINDO CONE. AF_11/2017</t>
  </si>
  <si>
    <t>ENGENHEIRO CIVIL DE OBRA SENIOR COM ENCARGOS COMPLEMENTARES (ADEQUAÇÃO DO PROJETO DE FUNDAÇÃO DAS ESCADAS METÁLICAS E ARQUIBANCADAS)</t>
  </si>
  <si>
    <t>ELABORAÇÃO DE PROJETO "AS BUILT" - ARQUITETO DE OBRA JUNIOR COM ENCARGOS COMPLEMENTARES</t>
  </si>
  <si>
    <t>TOTAL SERVIÇOS PRELIMINARES E SERVIÇOS GERAIS</t>
  </si>
  <si>
    <t>VALOR  ADMINISTRAÇÃO, SERVIÇOS PRELIMINARES E SERVIÇOS GERAIS.....................................................:</t>
  </si>
  <si>
    <t>VALOR DO BDI...................................................................:</t>
  </si>
  <si>
    <t>VALOR TOTAL DA ADMINISTRAÇÃO E SERVIÇOS PRELIMINARES...................................................:</t>
  </si>
  <si>
    <t>IMPLANTAÇÃO</t>
  </si>
  <si>
    <t>ACESSO ENTRE BLOCO ADMINISTRATIVO E SALA DE AULA</t>
  </si>
  <si>
    <t>DEMOLIÇÃO DE PAVIMENTO INTERTRAVADO, DE FORMA MANUAL, COM REAPROVEITAMENTO. AF_12/2017</t>
  </si>
  <si>
    <t>EXECUÇÃO DE PASSEIO (CALÇADA) OU PISO DE CONCRETO COM CONCRETO MOLDADO IN LOCO, USINADO, ACABAMENTO CONVENCIONAL, ESPESSURA 8 CM, ARMADO. AF_07/2016</t>
  </si>
  <si>
    <t>M³</t>
  </si>
  <si>
    <t>CARGA MANUAL DE ENTULHO EM CAMINHAO BASCULANTE 6 M3</t>
  </si>
  <si>
    <t xml:space="preserve">TOTAL </t>
  </si>
  <si>
    <t>ACESSO ADMINISTRATIVO PARA AUDITORIO_PÁTIO</t>
  </si>
  <si>
    <t>Verificar se tem em taguatinga ( foi usado o modelo de samambaia)</t>
  </si>
  <si>
    <t>C072.1</t>
  </si>
  <si>
    <t>EXECUÇÃO DE CAMADA DE  CONCRETO FCK = 20MPA, TRAÇO 1:2,7:3 (CIMENTO/ AREIA MÉDIA/ BRITA 1), ESPESSURA 4 CM - PREPARO MECÂNICO COM BETONEIRA 400 L, DESEMPENADO MANUALMENTE</t>
  </si>
  <si>
    <t xml:space="preserve">ADEQUAÇÃO DE ACESSIBILIDADE DA PARADA DE ONIBUS INSTALADA EM FRENTE AO CAMPUS </t>
  </si>
  <si>
    <t xml:space="preserve">EXECUÇÃO DE PASSEIO (CALÇADA) OU PISO DE CONCRETO COM CONCRETO MOLDADO IN LOCO, USINADO, ACABAMENTO CONVENCIONAL, ESPESSURA 8 CM, ARMADO. AF_07/2016 </t>
  </si>
  <si>
    <t xml:space="preserve"> LIMPEZA DE SUPERFÍCIE COM JATO DE ALTA PRESSÃO. AF_04/2019 </t>
  </si>
  <si>
    <t xml:space="preserve">ATERRO MANUAL SEM COMPACTAÇÃO </t>
  </si>
  <si>
    <t>PLANTIO DE GRAMA EM PLACAS. AF_05/2018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</si>
  <si>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</si>
  <si>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TOTAL</t>
  </si>
  <si>
    <t xml:space="preserve"> ESTACIONAMENTO SERVIDORES  </t>
  </si>
  <si>
    <t>PINTURA ACRILICA PARA SINALIZAÇÃO HORIZONTAL EM PISO CIMENTADO (ÁREA NÃO UTILIZAVEL, COR AMARELA)</t>
  </si>
  <si>
    <t>PINTURA ACRILICA PARA SINALIZAÇÃO HORIZONTAL EM PISO CIMENTADO (SETAS)</t>
  </si>
  <si>
    <t>C026</t>
  </si>
  <si>
    <t>COMPOSIÇÃO DOS CUSTOS UNITÁRIOS - ANALÍTICO</t>
  </si>
  <si>
    <t>PINTURA ACRILICA PARA SINALIZAÇÃO HORIZONTAL EM PISO CIMENTADO (PICTOGRAMA AZUL)</t>
  </si>
  <si>
    <t xml:space="preserve"> PREÇO (R$) </t>
  </si>
  <si>
    <t xml:space="preserve"> VALOR (R$) </t>
  </si>
  <si>
    <t>LIMPEZA DE SUPERFÍCIE COM JATO DE ALTA PRESSÃO. AF_04/2019</t>
  </si>
  <si>
    <t>C001</t>
  </si>
  <si>
    <t>COMPOSIÇÃO</t>
  </si>
  <si>
    <t>CORRIMÃO EM AÇO GALVANIZADO Ø=3,8CM, DUPLO, H=92CM E 70CM, CONFORME INDICADO NO ITEM 6.7.16 DA NBR 9050/2004 INCLUÍDO FUNDO ANTICORROSIVO E PINTURA ESMALTE SINTÉTICO CONFORME DETALHADO NO PROJETO</t>
  </si>
  <si>
    <t>PINTURA ACRILICA PARA SINALIZAÇÃO HORIZONTAL EM PISO CIMENTADO (DEMARCAÇÃO LETRAS)</t>
  </si>
  <si>
    <t>SERRALHEIRO COM ENCARGOS COMPLEMENTARES</t>
  </si>
  <si>
    <t>PINTOR COM ENCARGOS COMPLEMENTARES</t>
  </si>
  <si>
    <t>PINTURA ACRILICA PARA SINALIZAÇÃO HORIZONTAL EM PISO CIMENTADO (DEMARCAÇÃO VAGAS ESTACIONAMENTO SERVIDORES)</t>
  </si>
  <si>
    <t>SERVENTE COM ENCARGOS COMPLEMENTARES</t>
  </si>
  <si>
    <t>PEDREIRO COM ENCARGOS COMPLEMENTARES</t>
  </si>
  <si>
    <t>PINTURA ACRILICA PARA SINALIZAÇÃO HORIZONTAL EM PISO CIMENTADO (DEMARCAÇÃO CIRCULAÇÃO PEDESTRES)</t>
  </si>
  <si>
    <t>C049</t>
  </si>
  <si>
    <t>EXECUÇÃO DE BICICLETÁRIO EM TUBO DE AÇO GALVANIZADO, DIÂMENTRO = 50MM - INSTALAÇÃO E PINTURA</t>
  </si>
  <si>
    <t>ARGAMASSA TRAÇO 1:4 (CIMENTO E AREIA MÉDIA), PREPARO MANUAL. AF_08/2014</t>
  </si>
  <si>
    <t>74245/001</t>
  </si>
  <si>
    <t>PINTURA ACRILICA EM PISO CIMENTADO DUAS DEMAOS (cobrimento de marcações das vagas antigas)</t>
  </si>
  <si>
    <t>TUBO ACO GALV C/ COSTURA DIN 2440/NBR 5580 CLASSE MEDIA DN 1.1/2" (40MM) E=3,25MM - 3,61KG/M</t>
  </si>
  <si>
    <t>KG</t>
  </si>
  <si>
    <t>ELETRODO REVESTIDO AWS - E7018, DIAMETRO IGUAL A 4,00 MM</t>
  </si>
  <si>
    <t>C067</t>
  </si>
  <si>
    <t>EXECUÇÃO DE PÁTIO/ESTACIONAMENTO EM PISO INTERTRAVADO,  COR NATURAL DE 20 X 10 CM, ESPESSURA 6 CM. AF_12/2015</t>
  </si>
  <si>
    <t>UN</t>
  </si>
  <si>
    <t>LIXA EM FOLHA PARA FERRO, NUMERO 150</t>
  </si>
  <si>
    <t>SOLVENTE DILUENTE A BASE DE AGUARRAS</t>
  </si>
  <si>
    <t>PELICULA 3M BLOQUEIO SOLAR SÉRIE AFFINITY</t>
  </si>
  <si>
    <t xml:space="preserve">TINTA ESMALTE SINTETICO PREMIUM BRILHANTE </t>
  </si>
  <si>
    <t>FUNDO ANTICORROSIVO A BASE DE OXIDO DE FERRO (ZARCAO), UMA DEMAO</t>
  </si>
  <si>
    <t xml:space="preserve"> ENTRADA VEÍCULOS</t>
  </si>
  <si>
    <t>TOTAL DA COMPOSIÇÃO COM MÃO DE OBRA</t>
  </si>
  <si>
    <t xml:space="preserve">PLACA SINALIZADORA PARA BRAÇO DE CADEIRA EM AÇO INOX </t>
  </si>
  <si>
    <t>PINTURA ACRILICA PARA SINALIZAÇÃO HORIZONTAL EM PISO CIMENTADO (FAIXA DE PEDRESTES E FAIXA DE RETENÇÃO COR BRANCA)</t>
  </si>
  <si>
    <t>PLACA BRAILE EM ALUMINIO 25MM</t>
  </si>
  <si>
    <t>C002</t>
  </si>
  <si>
    <t>ROTA ACESSÍVEL GERAL DO CAMPUS</t>
  </si>
  <si>
    <t>SINALIZAÇÃO EM BRAILE EM ALUMÍNIO AUTO ADESIVO (100X30) MM COM ESP. 0,25MM - INDICA O PAVIMENTO</t>
  </si>
  <si>
    <t>FITA CREPE ROLO DE 25 MM X 50 M</t>
  </si>
  <si>
    <t>COTAÇÃO</t>
  </si>
  <si>
    <t>C003</t>
  </si>
  <si>
    <t>INSTALAÇÃO DE FAIXA DE SINALIZAÇÃO VISUAL FOTOLUMINESCENTE DE DEGRAUS COMP. 7 CM X LARG. 3.5CM.</t>
  </si>
  <si>
    <t>DEMOLIÇÃO DE LAJES, DE FORMA MECANIZADA COM MARTELETE, SEM REAPROVEITAMENTO. AF_12/2017 (PARA INSTALAÇÃO LADRILHO HIDRAULICO)</t>
  </si>
  <si>
    <t>FITA AUTO-ADESIVA FOTOLUMINESCENTE 5,0CM X 9M</t>
  </si>
  <si>
    <t>C003.1</t>
  </si>
  <si>
    <t>INSTALAÇÃO DE FAIXA DE SINALIZAÇÃO VISUAL DE DEGRAUS COM PARAFUSO</t>
  </si>
  <si>
    <t>73924/001</t>
  </si>
  <si>
    <t>PINTURA ESMALTE ALTO BRILHO, DUAS DEMÃOS, SOBRE SUPERFICIE METALICA</t>
  </si>
  <si>
    <t>FAIXA DE SINALIZAÇÃO VISUAL PARA DEGRAUS DE ESCADA, DIMENSÃO 30X200mm</t>
  </si>
  <si>
    <t>MAPA TÁTIL COMPLETO (PEDESTAL + PLANO TÁTIL 70X 50CM) - PLANO TÁTIL EM ACRÍLICO E PEDESTAL EM INOX</t>
  </si>
  <si>
    <t>C016</t>
  </si>
  <si>
    <t>PARAFUSO DE ACO ZINCADO COM ROSCA SOBERBA, CABECA CHATA E FENDA SIMPLES, DIAMETRO 4,2 MM, COMPRIMENTO * 32 * MM</t>
  </si>
  <si>
    <t>C004</t>
  </si>
  <si>
    <t>PISO TÁTIL DIRECIONAL OU ALERTA EMBORRACHADO COLORIDO (250X250) MM, ESP. 5 MM (ÁREA INTERNA)</t>
  </si>
  <si>
    <t>PINTURA ACRILICA PARA SINALIZAÇÃO HORIZONTAL EM PISO CIMENTADO (FAIXA DE PEDESTRES)</t>
  </si>
  <si>
    <t>PISO TATIL ALERTA OU DIRECIONAL, DE BORRACHA, COLORIDO, 25 X 25 CM, E = 5 MM, PARA COLA</t>
  </si>
  <si>
    <t>ADESIVO ACRILICO/COLA DE CONTATO</t>
  </si>
  <si>
    <t>PINTURA ACRILICA PARA SINALIZAÇÃO HORIZONTAL EM PISO CIMENTADO (FAIXA DE DEMARCAÇÃO)</t>
  </si>
  <si>
    <t>74238/002</t>
  </si>
  <si>
    <t>PORTAO DE TELA ARAME GALVANIZADO N.12 MALHA 2" E MOLDURA EM TUBOS DE AÇO COM DUAS FOLHAS DE ABRIR, INCLUSO FERRAGENS</t>
  </si>
  <si>
    <t>C004.1</t>
  </si>
  <si>
    <t>INSTALAÇÃO DE LADRILHO HIDRAULICO TÁTIIL DIRECIONAL OU ALERTA 25X25 COR AMARELA  (ÁREA EXTERNA), INCLUSIVE EXECUÇÃO DE RASGOS NO PISO EXISTENTE PARA ENCAIXE DAS PEÇAS.</t>
  </si>
  <si>
    <t>PISO TÁTIL DE ALERTA EMBORRACHADO COLORIDO (250X250) MM, ESP. 5 MM                        (ÁREA INTERNA)</t>
  </si>
  <si>
    <t>LADRILHO HIDRAULICO, *20 X 20* CM, E= 2 CM, TATIL ALERTA OU DIRECIONAL, AMARELO</t>
  </si>
  <si>
    <t>DEMOLIÇÃO DE ARGAMASSAS, DE FORMA MANUAL, SEM REAPROVEITAMENTO. AF_12/2017</t>
  </si>
  <si>
    <t xml:space="preserve">PISO TÁTIL DIRECIONAL  EMBORRACHADO COLORIDO (250X250) MM, ESP. 5 MM                  (ÁREA INTERNA)           </t>
  </si>
  <si>
    <t>DUCHA METALICA DE PAREDE ELÉTRICA, ARTICULAVEL, COM DESVIADOR E DUCHA MANUAL</t>
  </si>
  <si>
    <t>ARGAMASSA COLANTE TIPO ACIII</t>
  </si>
  <si>
    <t>INSTALAÇÃO DE LADRILHO HIDRAULICO TÁTIIL DE ALERTA 25X25 COR AMARELA (ÁREA EXTERNA)</t>
  </si>
  <si>
    <t>C005</t>
  </si>
  <si>
    <t>ADEQUAÇÃO DA ALTURA DE APARELHOS DE MICTÓRIOS PARA ADEQUAÇÃO DA NORMA DE ACESSIBILIDADE, NBR 9050, INCLUINDO ALTURA DA VALVULA DE ACIONAMENTO</t>
  </si>
  <si>
    <t>INSTALAÇÃO DE LADRILHO HIDRAULICO TÁTIIL DIRECIONAL 25X25 COR AMARELA  (ÁREA EXTERNA)</t>
  </si>
  <si>
    <t>AUXILIAR DE ENCANADOR OU BOMBEIRO HIDRÁULICO COM ENCARGOS COMPLEMENTARES</t>
  </si>
  <si>
    <t>C020</t>
  </si>
  <si>
    <t>ENCANADOR OU BOMBEIRO HIDRÁULICO COM ENCARGOS COMPLEMENTARES</t>
  </si>
  <si>
    <t>FITA VEDA ROSCA EM ROLOS DE 18 MM X 10 M (L X C)</t>
  </si>
  <si>
    <t>C023</t>
  </si>
  <si>
    <t>PLACA DE SIMBOLO INTERNACIONAL DE ACESSO 20 X 20 ADESIVO</t>
  </si>
  <si>
    <t xml:space="preserve">REJUNTE BRANCO, CIMENTICIO </t>
  </si>
  <si>
    <t>PARAFUSO NIQUELADO 3 1/2" COM ACABAMENTO CROMADO PARA FIXAR PECA SANITARIA, INCLUI PORCA CEGA, ARRUELA E BUCHA DE NYLON TAMANHO S-8</t>
  </si>
  <si>
    <t>JOELHO PVC, SOLDAVEL, COM BUCHA DE LATAO, 90 GRAUS, 25 MM X 1/2", PARA AGUA FRIA PREDIAL</t>
  </si>
  <si>
    <t>PINTURA ACRILICA PARA SINALIZAÇÃO HORIZONTAL EM PISO CIMENTADO (Demarcação de área para circulação de pedestres, executar pintura na cor branca conforme manual de sinalização horizontal do Contran.)</t>
  </si>
  <si>
    <t>REVESTIMENTO CERÂMICO PARA PAREDES INTERNAS COM PLACAS TIPO ESMALTADA EXTRA DE DIMENSÕES 20X20 CM APLICADAS EM AMBIENTES DE ÁREA MENOR QUE 5M² NA ALTURA INTEIRA NAS PAREDES</t>
  </si>
  <si>
    <t>C006</t>
  </si>
  <si>
    <t xml:space="preserve">BARRA DE APOIO EM TUBO DE AÇO INOXIDÁVEL OU ALUMÍNIO, COM 70 CM, DIAM. 30 À 45 MM, FIXAÇÃO VERTICAL OU HORIZONTAL  </t>
  </si>
  <si>
    <t xml:space="preserve">LIMPEZA DE PISO CERÂMICO OU PORCELANATO COM PANO ÚMIDO. AF_04/2019 </t>
  </si>
  <si>
    <t>ARGAMASSA INDUSTRIALIZADA MULTIUSO, PARA REVESTIMENTO INTERNO E EXTERNO E ASSENTAMENTO DE BLOCOS DIVERSOS</t>
  </si>
  <si>
    <t>BARRA DE APOIO RETA, EM ACO INOX POLIDO, COMPRIMENTO 70CM, DIAMETRO MINIMO 3CM</t>
  </si>
  <si>
    <t>C007</t>
  </si>
  <si>
    <t>SUBSTITUIÇÃO DA PORTA SANITÁRIO ACESSÍVEL COM INSTALAÇÃO DE CHAPA ( 2 lados) E PUXADOR HORIZONTAL( COMPRIMENTO 45CM E DIAM. 3CM)  PORTA DE 90</t>
  </si>
  <si>
    <t xml:space="preserve"> PORTA DE MADEIRA PARA VERNIZ, SEMI-OCA (LEVE OU MÉDIA),ESPESURA DE 3,5CM, INCLUSO DOBRADIÇAS - FORNECIMENTO E INSTALAÇÃO. AF_08/90X210CM,  </t>
  </si>
  <si>
    <t>BARRA DE APOIO RETA, FIXA, EM AÇO INOX, L=40CM</t>
  </si>
  <si>
    <t>ESTACIONAMENTO ALUNOS E VISITANTES</t>
  </si>
  <si>
    <t>CHAPA DE ALUMINIO, E = 3 MM, L = 1000 MM - 8,10 KG/M2 (LIGA 1200 - H14)p/ 2 lados</t>
  </si>
  <si>
    <t>REBITE DE ALUMINIO VAZADO DE REPUXO, 3,2 X 8 MM (1KG = 1025 UNIDADES)</t>
  </si>
  <si>
    <t>COLA A BASE DE RESINA SINTETICA PARA CHAPA DE LAMINADO MELAMINICO</t>
  </si>
  <si>
    <t>C007.1</t>
  </si>
  <si>
    <t xml:space="preserve">INSTALAÇÃO DE CHAPA (2 lados) E PUXADOR HORIZONTAL( COMPRIMENTO 40CM E DIAM. 3CM) </t>
  </si>
  <si>
    <t>PINTURA ACRILICA PARA SINALIZAÇÃO HORIZONTAL EM PISO CIMENTADO (DEMARCAÇÃO VAGAS ESTACIONAMENTO ALUNOS)</t>
  </si>
  <si>
    <t>CRONOGRAMA FÍSICO FINANCEIRO</t>
  </si>
  <si>
    <t xml:space="preserve">Prazo de execução:   180 dias </t>
  </si>
  <si>
    <t>C008</t>
  </si>
  <si>
    <t>TORNEIRA LAVATORIO PRESSMATIC,  VOLANTE TIPO ALAVANCA, PARA LAVATÓRIO DE P.N.E DOCOL OU SIMILAR</t>
  </si>
  <si>
    <t>% DO ITEM</t>
  </si>
  <si>
    <t>VALOR (R$) COM BDI</t>
  </si>
  <si>
    <t>C080</t>
  </si>
  <si>
    <t>RETIRADA E REINSTALAÇÃO DE PIQUETES METALICOS</t>
  </si>
  <si>
    <t>MÊS 1</t>
  </si>
  <si>
    <t>MÊS 2</t>
  </si>
  <si>
    <t>MÊS 3</t>
  </si>
  <si>
    <t>MÊS 4</t>
  </si>
  <si>
    <t>MÊS 5</t>
  </si>
  <si>
    <t>MÊS 6</t>
  </si>
  <si>
    <t xml:space="preserve">TORNEIRA CROMADA DE MESA PARA LAVATORIO PNE TEMPORIZADA PRESSAO BICA BAIXA </t>
  </si>
  <si>
    <t>*</t>
  </si>
  <si>
    <t>ADEQUAÇÃO EMBARQUE E DESEMBARQUE</t>
  </si>
  <si>
    <t>ENGATE OU RABICHO FLEXIVEL INOX 1/2" x 40CM</t>
  </si>
  <si>
    <t>C009</t>
  </si>
  <si>
    <t>TOALHEIRO PLASTICO TIPO DISPENSER PARA PAPEL TOALHA INTERFOLHADO</t>
  </si>
  <si>
    <t>C009.1</t>
  </si>
  <si>
    <t>SABONETEIRA PLASTICA TIPO DISPENSER PARA SABONETE LIQUIDO COM RESERVATORIO 800 A 1500 ML</t>
  </si>
  <si>
    <t>VALOR  IMPLANTAÇÃO.....................................................:</t>
  </si>
  <si>
    <t>C009.2</t>
  </si>
  <si>
    <t>TOALHEIRO PLASTICO TIPO DISPENSER PARA PAPEL TOALHA INTERFOLHADO PARA BOX SANITÁRIO</t>
  </si>
  <si>
    <t>VALOR TOTAL DA IMPLANTAÇÃO...................................................:</t>
  </si>
  <si>
    <t>GINÁSIO</t>
  </si>
  <si>
    <t>ADEQUAÇÃO SANITÁRIO MASCULINO - CANTINA</t>
  </si>
  <si>
    <t>C009.2.1</t>
  </si>
  <si>
    <t>RELOCAÇÃO DE TOALHEIRO PLASTICO TIPO DISPENSER PARA PAPEL INTERFOLHADO PARA BOX SANITÁRIO</t>
  </si>
  <si>
    <t>C022</t>
  </si>
  <si>
    <t>C009.2.2</t>
  </si>
  <si>
    <t>RELOCAÇÃO SABONETEIRA PLASTICA TIPO DISPENSER PARA SABONETE LIQUIDO COM RESERVATÓRIO 800 A 1500 ML</t>
  </si>
  <si>
    <t>C050</t>
  </si>
  <si>
    <t>C009.2.3</t>
  </si>
  <si>
    <t xml:space="preserve">RELOCAÇÃO DE TOALHEIRO PLASTICO TIPO DISPENSER PARA PAPAEL TOALHA INTERFOLHADO </t>
  </si>
  <si>
    <t>C010</t>
  </si>
  <si>
    <t>C025.1</t>
  </si>
  <si>
    <t>INSTALAÇÃO DE CHUVEIRO ELETRICO, INCLUINDO MUDANÇA DE PONTO HIDRÁULICO</t>
  </si>
  <si>
    <t>ELETRICISTA COM ENCARGOS COMPLEMENTARES</t>
  </si>
  <si>
    <t>CHUVEIRO COMUM EM PLASTICO BRANCO, COM CANO, 3 TEMPERATURAS, 5500 W (110/220V)</t>
  </si>
  <si>
    <t>FITA VEDA ROSCA EM ROLOS DE 18 MM X 50 M (L X C)</t>
  </si>
  <si>
    <t>C014.1</t>
  </si>
  <si>
    <t>PONTO DE CONSUMO TERMINAL DE ÁGUA FRIA (SUBRAMAL) COM TUBULAÇÃO DE PVC, DN 25 MM, INSTALADO EM RAMAL DE ÁGUA, INCLUSOS RASGO E CHUMBAMENTO EM ALVENARIA. AF_12/2014</t>
  </si>
  <si>
    <t>REGISTRO PRESSAO COM ACABAMENTO E CANOPLA CROMADA, SIMPLES, BITOLA 1/2 " (REF 1416)</t>
  </si>
  <si>
    <t>REVESTIMENTO CERÂMICO PARA PAREDES INTERNAS COM PLACAS TIPO ESMALTADA EXTRA DE DIMENSÕES 20X20 CM APLICADAS EM AMBIENTES DE ÁREA MENOR QUE 5M² NA ALTURA INTEIRA DAS PAREDES. AF_06/2014</t>
  </si>
  <si>
    <t>C025.2</t>
  </si>
  <si>
    <t>C011</t>
  </si>
  <si>
    <t>UM</t>
  </si>
  <si>
    <t>INSTALAÇÃO DE FAIXA ANTIDERRAPANTE DE DEGRAUS (ROLO COM 5M)</t>
  </si>
  <si>
    <t>VASO SANITÁRIO SIFONADO COM CAIXA ACOPLADA LOUÇA BRANCA, INCLUSO ENGAT E FLEXÍVEL EM PLÁSTICO BRANCO, 1/2 X 40CM - FORNECIMENTO E INSTALAÇÃO. AF_12/2013</t>
  </si>
  <si>
    <t>ROLO</t>
  </si>
  <si>
    <t>Faixa ANTIDERRAPANTE L = 5CM  3M OU SIMILAR (ROLO COM 5M)</t>
  </si>
  <si>
    <t>BARRA DE APOIO RETA, EM ACO INOX POLIDO, COMPRIMENTO 40CM, DIAMETRO MINIMO 3, FIXAÇÃO VERTICAL NA PAREDE</t>
  </si>
  <si>
    <t>C012</t>
  </si>
  <si>
    <t xml:space="preserve">FORNECIMENTO E INSTALAÇÃO DE BANCO ARTICULADO EM AÇO INOX 70X45 CM, PARA BANHO PNE </t>
  </si>
  <si>
    <t>BANCO ARTICULADO PARA BANHO, EM ACO INOX POLIDO, 70* CM X 45* CM</t>
  </si>
  <si>
    <t>C013</t>
  </si>
  <si>
    <t>REJUNTE BRANCO, CIMENTICIO</t>
  </si>
  <si>
    <t>PARAFUSO DE ACO TIPO CHUMBADOR PARABOLT, DIAMETRO 3/8", COMPRIMENTO 75 MM</t>
  </si>
  <si>
    <t>BARRA DE APOIO HORIZONTAL, EM AÇO INOX PARA P.N.E L = 80CM (VASO SANITÁRIO) CONFORME NBR 9050</t>
  </si>
  <si>
    <t>RELOCAÇÃO DE TOALHEIRO PLASTICO TIPO DISPENSER PARA PAPAEL TOALHA INTERFOLHADO</t>
  </si>
  <si>
    <t>C0089</t>
  </si>
  <si>
    <t>ESPELHO CRISTAL, ESPESSURA 4MM, COM PARAFUSOS DE FIXAÇÃO, SEM MOLDURA</t>
  </si>
  <si>
    <t>BARRA DE APOIO RETA, EM ACO INOX POLIDO, COMPRIMENTO 80CM, DIAMETRO MINIMO 3CM</t>
  </si>
  <si>
    <t>C014</t>
  </si>
  <si>
    <t>BARRA DE APOIO EM U, FIXA, EM AÇO INOX, L=40CM</t>
  </si>
  <si>
    <t>CJ</t>
  </si>
  <si>
    <t>BARRA DE APOIO EM U, FIXA, EM AÇO INOX, L=40CM  CJ</t>
  </si>
  <si>
    <t>ADEQUAÇÃO SANITÁRIO FEMININO - CANTINA</t>
  </si>
  <si>
    <t>RETIRADA DE BARRAS DE APOIO DOS SANITÁRIOS</t>
  </si>
  <si>
    <t>C015</t>
  </si>
  <si>
    <t>BARRA DE APOIO RETA, EM ACO INOX POLIDO, COMPRIMENTO 40CM, DIAMETRO MINIMO 3CM</t>
  </si>
  <si>
    <t>EXECUÇÃO DE GUIA DE BALIZAMENTO EM CONCRETO MOLDADO IN LOCO,  ARMADURA 6.3MM, LARGURA 15 CM E ALTURA 5 CM., INCLUSIVE PINTURA COM TINTA ACRÍLICA PARA PISO CIMENTADO 2 DEMÃOS.</t>
  </si>
  <si>
    <t>CONCRETO USINADO BOMBEAVEL, CLASSE DE RESISTENCIA C20, COM BRITA 0 E 1, SLUMP =100 +/- 20 MM, EXCLUI SERVICO DE BOMBEAMENTO (NBR 8953)</t>
  </si>
  <si>
    <t>FABRICAÇÃO DE FÔRMA PARA VIGAS, EM CHAPA DE MADEIRA COMPENSADA RESINADA, E= 17MM. AF_12/2015</t>
  </si>
  <si>
    <t>ACO CA-50, 6,3 MM, DOBRADO E CORTADO KG CR 5,87</t>
  </si>
  <si>
    <t>PINTURA ACRILICA EM PISO CIMENTADO DUAS DEMAOS COR BRANCA</t>
  </si>
  <si>
    <t>C017</t>
  </si>
  <si>
    <t xml:space="preserve">RETIRADA E ASSENTAMENTO DE SOLEIRA EM GRANITO VERDE UBATUBA, TABEIRA, DEGRAUS E SOLEIRAS, ASSENTADO COM ARGAMASSA AC-III CONFORME PROJETO </t>
  </si>
  <si>
    <t>SOLEIRA EM GRANITO, POLIDO, TIPO ANDORINHA/ QUARTZ/ CASTELO/ CORUMBA OU OUTROS EQUIVALENTES DA REGIAO, L= *15* CM, E= *2,0* CM</t>
  </si>
  <si>
    <t>DEMOLIÇÃO DE REVESTIMENTO CERÂMICO, DE FORMA MANUAL, SEM REAPROVEITAMENTO. AF_12/2017</t>
  </si>
  <si>
    <t>C017.1</t>
  </si>
  <si>
    <t xml:space="preserve">ASSENTAMENTO DE SOLEIRA EM GRANITO VERDE UBATUBA, TABEIRA, DEGRAUS E SOLEIRAS, ASSENTADO COM ARGAMASSA AC-III CONFORME PROJETO </t>
  </si>
  <si>
    <t>ADEQUAÇÃO VESTIÁRIO MASCULINO - QUADRA</t>
  </si>
  <si>
    <t xml:space="preserve">DEMOLIÇÃO DE ALVENARIA DE BLOCO FURADO, DE FORMA MANUAL, SEM REAPROVEITAMENTO </t>
  </si>
  <si>
    <t>MAPA TÁTIL EM ACRILICO 70X50CM</t>
  </si>
  <si>
    <t>C021</t>
  </si>
  <si>
    <t>PORTA DE ALUMINIO 90 CM TIPO VENEZIANA COM PUXADOR HORIZONTAL E TARJETA LIVRE/OCUPADO</t>
  </si>
  <si>
    <t>PORTA EM ALUMÍNIO DE ABRIR TIPO VENEZIANA COM GUARNIÇÃO, FIXAÇÃO COM PARAFUSOS - FORNECIMENTO E INSTALAÇÃO. AF_08/2015</t>
  </si>
  <si>
    <t>REVESTIMENTO CERÂMICO PARA PAREDES INTERNAS COM PLACAS TIPO ESMALTADA EXTRA DE DIMENSÕES 33X45 CM APLICADAS EM AMBIENTES DE ÁREA MENOR QUE 5 M² A MEIA ALTURA DAS PAREDES. AF_06/2014 M2</t>
  </si>
  <si>
    <t xml:space="preserve">TARJETA LIVRE/OCUPADO PARA PORTA DE BANHEIRO </t>
  </si>
  <si>
    <t>C021.1</t>
  </si>
  <si>
    <t>PORTA DE MADEIRA 1 M PUXADOR HORIZONTAL FECHADURA DE EMBUTIR CONFORME A NBR 9050 E CHAPA DE PROTEÇÃO NA PARTE INFERIOR</t>
  </si>
  <si>
    <t>PORTA DE MADEIRA, FOLHA MEDIA (NBR 15930) DE 100 X 210 CM, E = 35 MM, NUCLEO SARRAFEADO, CAPA LISA EM HDF, ACABAMENTO EM LAMINADO NATURAL PARA VERNIZ</t>
  </si>
  <si>
    <t>FECHADURA DE EMBUTIR COM CILINDRO, EXTERNA, COMPLETA, ACABAMENTO PADRÃO MÉDIO, INCLUSO EXECUÇÃO DE FURO - FORNECIMENTO E INSTALAÇÃO. AF_08/2015</t>
  </si>
  <si>
    <t>C024</t>
  </si>
  <si>
    <t>PINTURA EM VERNIZ SINTETICO BRILHANTE EM MADEIRA, TRES DEMAOS</t>
  </si>
  <si>
    <t>PINTURA ACRILICA PARA SINALIZAÇÃO HORIZONTAL EM PISO CIMENTADO (PICTOGRAMA- COR AZUL)</t>
  </si>
  <si>
    <t>PINTURA ACRILICA PARA SINALIZAÇÃO HORIZONTAL EM PISO CIMENTADO (PICTOGRAMA - COR BRANCA)</t>
  </si>
  <si>
    <t>C021.2</t>
  </si>
  <si>
    <t>PORTA DE ALUMINIO 80 CM TIPO VENEZIANA COM PUXADOR HORIZONTAL E TARJETA LIVRE/OCUPADO</t>
  </si>
  <si>
    <t>C021.3</t>
  </si>
  <si>
    <t>PORTA DE CORRER ALUMINIO 100 CM TIPO VENEZIANA COM PUXADOR HORIZONTAL E TARJETA LIVRE/OCUPADO</t>
  </si>
  <si>
    <t>TRILHO EM ALUMINIO "U", COM ABAULADO PARA ROLDANA DE PORTA DE CORRER, *40 X 40*MM</t>
  </si>
  <si>
    <t>FECHADURA BICO DE PAPAGAIO, MAQUINA *45* MM, CROMADA, COM CHAVE TIPO GORGES BIPARTIDA, PARA PORTA DE CORRER INTERNA - COMPLETA</t>
  </si>
  <si>
    <t>C021.4</t>
  </si>
  <si>
    <t>M2</t>
  </si>
  <si>
    <t xml:space="preserve">PORTA ( folha) EM ALUMÍNIO  TIPO VENEZIANA - FORNECIMENTO E INSTALAÇÃO. AF_08/2015 </t>
  </si>
  <si>
    <t/>
  </si>
  <si>
    <t>310ML</t>
  </si>
  <si>
    <t>SELANTE ELASTICO MONOCOMPONENTE A BASE DE POLIURETANO PARA JUNTAS DIVERSAS</t>
  </si>
  <si>
    <t>BUCHA DE NYLON SEM ABA S10, COM PARAFUSO DE 6,10 X 65 MM EM ACO ZINCADO COM ROSCA SOBERBA, CABECA CHATA E FENDA PHILLIPS</t>
  </si>
  <si>
    <t>PORTA DE ABRIR EM ALUMINIO TIPO VENEZIANA, ACABAMENTO ANODIZADO NATURAL sem guarnição</t>
  </si>
  <si>
    <t>88309</t>
  </si>
  <si>
    <t>88316</t>
  </si>
  <si>
    <t>C044</t>
  </si>
  <si>
    <t>C021.5</t>
  </si>
  <si>
    <t>INVERTER ABERTURA DA PORTA E INSTALAR PUXADOR HORIZONTAL E TARJETA LIVRE/OCUPADO</t>
  </si>
  <si>
    <t>REVESTIMENTO CERÂMICO PARA PISO COM PLACAS TIPO ESMALTADA EXTRA DE DIMENSÕES 35X35 CM APLICADA EM AMBIENTES DE ÁREA MENOR QUE 5 M2. AF_06/2014</t>
  </si>
  <si>
    <t>SERVENTE COM ENCOARGOS COMPLEMENTARES</t>
  </si>
  <si>
    <t>GUARNICAO/MOLDURA DE ACABAMENTO PARA ESQUADRIA DE ALUMINIO ANODIZADO NATURAL, PARA 1 FACE</t>
  </si>
  <si>
    <t>ADEQUAÇÃO VESTUÁRIO FEMININO - QUADRA</t>
  </si>
  <si>
    <t>C021.6</t>
  </si>
  <si>
    <t>INSTALAR PUXADOR HORIZONTAL COM L=40cm E COLOCAR TARJETA LIVRE- OCUPADO</t>
  </si>
  <si>
    <t>BARRA DE APOIO RETA FIXA EM AÇO INOX, L=40cm, D=  1 1/2"</t>
  </si>
  <si>
    <t>C021.7</t>
  </si>
  <si>
    <t>PORTA DE ALUMINIO 100 CM TIPO VENEZIANA COM PUXADOR HORIZONTAL E TARJETA LIVRE/OCUPADO</t>
  </si>
  <si>
    <t>PLACA DE SINALIZAÇÃO EM BRAILLE E AUTORELEVO 20 X 40 - ACRILICO COM SIMBOLO INTERNACIONAL DE ACESSO CONFORME PROJETO</t>
  </si>
  <si>
    <t>SINALIZAÇÃO PARA DEFICIENTES - PLACA EM BRAILLE</t>
  </si>
  <si>
    <t>PLACA DE ACRILICO TRANSPARENTE ADESIVADA PARA SINALIZACAO DE PORTAS</t>
  </si>
  <si>
    <t>BANCO DE CONCRETO ACESSÍVEL  - FORNECIMENTO E INSTALAÇÃO COM ACABAMENTO EM PINTURA EPOXI CONFORME PROJETO ARQUITETONICO</t>
  </si>
  <si>
    <t>FABRICAÇÃO DE FÔRMA PARA PILARES E ESTRUTURAS SIMILARES, EM MADEIRA SERRADA, E=25 MM. AF_12/2015</t>
  </si>
  <si>
    <t>ARMACAO AÇO CA-50 P/1,0M3 DE CONCRETO</t>
  </si>
  <si>
    <t>LANÇAMENTO COM USO DE BALDES, ADENSAMENTO E ACABAMENTO DE CONCRETO EM ESTRUTURAS. AF_12/2015</t>
  </si>
  <si>
    <t>CONCRETO USINADO CONVENCIONAL (NAO BOMBEAVEL) CLASSE DE RESISTENCIA C15, COM BRITA 1 E 2, SLUMP = 80 MM +/- 10 MM (NBR 8953)</t>
  </si>
  <si>
    <t>FILETE DE GRANITO BOX CHUVEIRO  H=2CM</t>
  </si>
  <si>
    <t>TOTAL  DESEMBOLSO MENSAL</t>
  </si>
  <si>
    <t>ARGAMASSA TRAÇO 1:3 (CIMENTO E AREIA MÉDIA), PREPARO MANUAL. AF_08/2014</t>
  </si>
  <si>
    <t>PINTURA EPOXI, DUAS DEMÃOS</t>
  </si>
  <si>
    <t>C024.1</t>
  </si>
  <si>
    <t>BANCO DE CONCRETO ACESSÍVEL  - FORNECIMENTO E INSTALAÇÃO COM ACABAMENTO EM REVESTIMENTO CERÂMICOCONFORME PROJETO ARQUITETONICO</t>
  </si>
  <si>
    <t>total + administração</t>
  </si>
  <si>
    <t>%  MENSAL</t>
  </si>
  <si>
    <t>REVESTIMENTO CERÂMICO PARA PISO COM PLACAS TIPO ESMALTADA EXTRA DE DIMENSÕES 45X45 CM APLICADA EM AMBIENTES DE ÁREA MENOR QUE 5 M2. AF_06/2014</t>
  </si>
  <si>
    <t>ADEQUAÇÃO ARQUIBANCADA GINÁSIO</t>
  </si>
  <si>
    <t>% MENSAL ACUMULADA</t>
  </si>
  <si>
    <t>DEMOLIÇÃO DE ALVENARIA DE BLOCO FURADO, DE FORMA MANUAL, SEM REAPROVEITAMENTO. AF_12/2017</t>
  </si>
  <si>
    <t>READEQUAÇÃO DE CUBA - RETIRAR E REINSTALAR PARA AJUSTAR ALTURA CONFORME NBR 9050. ALTURA = 80CM</t>
  </si>
  <si>
    <t>ALVENARIA DE VEDAÇÃO DE BLOCOS CERÂMICOS FURADOS NA VERTICAL DE 14X19X39CM (ESPESSURA 14CM) DE PAREDES COM ÁREA LÍQUIDA MENOR QUE 6M² SEM VÃOS E ARGAMASSA DE ASSENTAMENTO COM PREPARO EM BETONEIRA. AF_06/2014</t>
  </si>
  <si>
    <t>CIMENTO BRANCO</t>
  </si>
  <si>
    <t>PINTURA ACRILICA EM PISO CIMENTADO DUAS DEMAOS (CINZA)</t>
  </si>
  <si>
    <t>________________________________________</t>
  </si>
  <si>
    <t>READEQUAÇÃO DE PONTO HIDRAULICO PARA VASO SANITÁRIO</t>
  </si>
  <si>
    <t>JOELHO PVC, SOLDAVEL, PB, 90 GRAUS, DN 100 MM, PARA ESGOTO PREDIAL</t>
  </si>
  <si>
    <t>DEMOLIÇÃO DE LAJES, DE FORMA MECANIZADA COM MARTELETE, SEM REAPROVEITAMENTO. AF_12/2017</t>
  </si>
  <si>
    <t>VEDACAO PVC, 100 MM, PARA SAIDA VASO SANITARIO</t>
  </si>
  <si>
    <t>PINTURA ACRILICA PARA SINALIZAÇÃO HORIZONTAL EM PISO CIMENTADO( Delimitar com faixa branca e= 3cm)</t>
  </si>
  <si>
    <t>PLACA DE SINALIZAÇÃO VERTICAL COM PINTURA REFLETIVA</t>
  </si>
  <si>
    <t>PLACA DE SINALIZACAO EM CHAPA DE ALUMINIO COM PINTURA REFLETIVA, E = 2 MM</t>
  </si>
  <si>
    <t>POSTE DECORATIVO PARA JARDIM EM ACO TUBULAR, SEM LUMINARIA, H = *2,5* M</t>
  </si>
  <si>
    <t>PINTURA ACRILICA PARA SINALIZAÇÃO HORIZONTAL EM PISO CIMENTADO( Espaço para cão-guia 70x40cm/ h=30cm )</t>
  </si>
  <si>
    <t>C027</t>
  </si>
  <si>
    <t>BEBEDOURO TIPO COLUNA CONJUGADO ACESSÍVEL  IBBL OU SIMILAR</t>
  </si>
  <si>
    <t>ESTACA ESCAVADA MECANICAMENTE, SEM FLUIDO ESTABILIZANTE, COM 40 CM DE DIÂMETRO, ATÉ 9 M DE COMPRIMENTO, CONCRETO LANÇADO POR CAMINHÃO BETONE
IRA (EXCLUSIVE MOBILIZAÇÃO E DESMOBILIZAÇÃO). AF_02/2015</t>
  </si>
  <si>
    <t>95576</t>
  </si>
  <si>
    <t>MONTAGEM DE ARMADURA LONGITUDINAL/TRANSVERSAL DE ESTACAS DE SEÇÃO CIRCULAR, DIÂMETRO = 8,0 MM. AF_11/2016</t>
  </si>
  <si>
    <t>96526</t>
  </si>
  <si>
    <t>ESCAVAÇÃO MANUAL DE VALA PARA VIGA BALDRAME, SEM PREVISÃO DE FÔRMA. AF_06/2017</t>
  </si>
  <si>
    <t>ENGATE/RABICHO FLEXIVEL PLASTICO (PVC OU ABS) BRANCO 1/2 " X 40 CM</t>
  </si>
  <si>
    <t xml:space="preserve">BEBEDOURO TIPO COLUNA CONJUGADO ACESSÍVEL </t>
  </si>
  <si>
    <t>96557</t>
  </si>
  <si>
    <t>CONCRETAGEM DE BLOCOS DE COROAMENTO E VIGAS BALDRAMES, FCK 30 MPA, COM USO DE BOMBA LANÇAMENTO, ADENSAMENTO E ACABAMENTO. AF_06/2017</t>
  </si>
  <si>
    <t>ARMAÇÃO DE BLOCO, VIGA BALDRAME E SAPATA UTILIZANDO AÇO CA-60 DE 5 MM MONTAGEM. AF_06/2017</t>
  </si>
  <si>
    <t>C028</t>
  </si>
  <si>
    <t xml:space="preserve">BARRA ANTIPANICO DUPLA, COM MAÇANETAS PARA PORTA DE VIDRO ADEQUADAAS CONFORME NRB 9050 </t>
  </si>
  <si>
    <t>FABRICAÇÃO, MONTAGEM E DESMONTAGEM DE FÔRMA PARA VIGA BALDRAME, EM MADEIRA SERRADA, E=25 MM, 4 UTILIZAÇÕES. AF_06/2017</t>
  </si>
  <si>
    <t>VIDRACEIRO COM ENCARGOS COMPLEMENTARES</t>
  </si>
  <si>
    <t>C081.1</t>
  </si>
  <si>
    <t>EXECUÇÃO DE DEGRAUS COM DIMENSÕES COMP.:1,45 M, LARGURA=0,29 CM, ESPELHO=22,5 M, EM ARQUIBANCADA, PRENCHIDO COM ALVENARIA  9X19X19, REVESTIDO EM CAMADA EM CAMADA DE CONCRETO DE 5 CM.</t>
  </si>
  <si>
    <t>SILICONE ACETICO USO GERAL INCOLOR 280 G</t>
  </si>
  <si>
    <t>BARRA ANTIPANICO DUPLA, PARA PORTA DE VIDRO, COR CINZA</t>
  </si>
  <si>
    <t>C081</t>
  </si>
  <si>
    <t>GUARDA CORPO LATERAL DA QUADRA EM  AÇO GALVANIZADO DE 1,10M, TRAVESSA SUPERIOR E INFERIOR DE 1.1/2", GRADIL TELA ARTISTICA MALHA 2X2.</t>
  </si>
  <si>
    <t>MAÇANETA ALAVANCA RETA OU CURVA,MACIÇA CROMADA, COMPRIMENTO DE 10 A 16 CM, ACABAMENTO PADRÃO MEDIO -  SOMENTE MAÇANETAS</t>
  </si>
  <si>
    <t>73924/1</t>
  </si>
  <si>
    <t>C029</t>
  </si>
  <si>
    <t>READEQUAÇÃO DA ALTURA DE APARELHOS SANITÁRIOS   ATRAVÉS DA INSTALAÇÃO DE SÓCULO NA BASE PARA ADEQUAÇÃO DA NORMA DE ACESSIBILIDADE NBR 9050, ITEM 7.3.14</t>
  </si>
  <si>
    <t>ADEQUAÇÃO CANTINA</t>
  </si>
  <si>
    <t>GRANITO PARA BANCADA, POLIDO, TIPO ANDORINHA/ QUARTZ/ CASTELO/ CORUMBA OU OUTROS EQUIVALENTES DA REGIAO, E= *2,5* CM</t>
  </si>
  <si>
    <t>C030</t>
  </si>
  <si>
    <t>ADEQUAÇÃO DE ALTURA DE BARRAS DE APOIO EXISTENTES</t>
  </si>
  <si>
    <t>74136/001</t>
  </si>
  <si>
    <t>PORTA DE AÇO  DE ENROLAR TIPO GRADE, CHAPA 16</t>
  </si>
  <si>
    <t>MÃO FRANCESA EM BARRA DE FERRO CHATO RETANGULAR 2" X 1/4", REFORÇADA, 40 X 30CM</t>
  </si>
  <si>
    <t>C031</t>
  </si>
  <si>
    <t>DIVISÓRIA EM GRANITO, COM DUAS FACES POLIDAS, COR CINZA,  PARA INSTALAÇÃO EM BOXES DE BANHEIRO</t>
  </si>
  <si>
    <t>MARMORISTA/GRANITEIRO COM ENCARGOS COMPLEMENTARES</t>
  </si>
  <si>
    <t>APLICAÇÃO MANUAL DE PINTURA COM TINTA LÁTEX ACRÍLICA EM PAREDES, DUAS DEMÃOS. AF_06/2014</t>
  </si>
  <si>
    <t xml:space="preserve">ARGAMASSA COLANTE AC I PARA CERAMICAS KG </t>
  </si>
  <si>
    <t>MASSA PLASTICA PARA MARMORE/GRANITO</t>
  </si>
  <si>
    <t>DIVISORIA EM GRANITO, COM DUAS FACES POLIDAS, TIPO ANDORINHA/ QUARTZ/ CASTELO/CORUMBA OU OUTROS EQUIVALENTES DA REGIAO, E= *3,0* CM</t>
  </si>
  <si>
    <t>C031.1</t>
  </si>
  <si>
    <t>INSTALAR DIVISORIA DE GRANITO ( REAPROVEITAMENTO)</t>
  </si>
  <si>
    <t>ADEQUAÇÕES GERAIS GINÁSIO</t>
  </si>
  <si>
    <t>C035</t>
  </si>
  <si>
    <t xml:space="preserve">ARGAMASSA COLANTE AC I PARA CERAMICAS </t>
  </si>
  <si>
    <t>PINTURA ESMALTE ALTO BRILHO, DUAS DEMÃOS, SOBRE SUPERFICIE METALICA(portas metálicas)</t>
  </si>
  <si>
    <t>C033</t>
  </si>
  <si>
    <t>RETIRADA DE GUARDA-CORPO E CORRIMAO</t>
  </si>
  <si>
    <t>VALOR  GINÁSIO.....................................................:</t>
  </si>
  <si>
    <t>C034</t>
  </si>
  <si>
    <t>FECHAMENTO LATERAL COM PERFIS DE ALUMINIO, 100x60 MM, E=1,58 MM E CAIXILHOS DE ALUMÍNIO EM PERFIL "U", TODA ESTRUTURA EM ALUMÍNIO ANODIZADO BRANCO</t>
  </si>
  <si>
    <t xml:space="preserve">PERFIL DE ALUMINIO ANODIZADO </t>
  </si>
  <si>
    <t>MONTADOR DE ESTRUTURA METALICA COM ENCARGOS COMPLEMENTARES</t>
  </si>
  <si>
    <t>VALOR TOTAL DO GINÁSIO...................................................:</t>
  </si>
  <si>
    <t>TINTA PROTETORA SUPERFICIE METALICA ALUMINIO (BRANCO)</t>
  </si>
  <si>
    <t>AUDITÓRIO</t>
  </si>
  <si>
    <t>ADEQUAÇÃO SANITÁRIO MASCULINO AUDITÓRIO</t>
  </si>
  <si>
    <t>C034.1</t>
  </si>
  <si>
    <t>TELHAMENTO COM TELHA TERMOACÚSTICA EM AÇO GALVANIZADO, SEM PINTURA NA FASE SUPERIOR, 0,50MM,ESP. PAINEL=30MM, ISOLAMENTO POLIURETANO = 30MM COM FILME BRANCO NA FACE INFERIOR, ISOCOBERTURA PANISOL OU SIMILAR</t>
  </si>
  <si>
    <t>HASTE RETA PARA GANCHO DE FERRO GALVANIZADO, COM ROSCA 1/4 " X 30 CM PARA FIXACAO DE TELHA METALICA, INCLUI PORCA E ARRUELAS DE VEDACAO</t>
  </si>
  <si>
    <t>TELHA TERMOACÚSTICA EM AÇO GALVANIZADO SEM PINTURA 0,50MM,ESP. PAINEL=30MM, ISOLAMENTO POLIURETANO = 30MM COM FILME BRANCO, ISOCOBERTURA PANISOL OU SIMILAR</t>
  </si>
  <si>
    <t>C036</t>
  </si>
  <si>
    <t>TELHADISTA COM ENCARGOS COMPLEMENTARES</t>
  </si>
  <si>
    <t>CHP</t>
  </si>
  <si>
    <t>GUINCHO ELÉTRICO DE COLUNA, CAPACIDADE 400 KG, COM MOTO FREIO, MOTOR TRIFÁSICO DE 1,25 CV - CHP DIURNO. AF_03/2016</t>
  </si>
  <si>
    <t>CHI</t>
  </si>
  <si>
    <t>GUINCHO ELÉTRICO DE COLUNA, CAPACIDADE 400 KG, COM MOTO FREIO, MOTOR TRIFÁSICO DE 1,25 CV - CHI DIURNO. AF_03/2016</t>
  </si>
  <si>
    <t>C051</t>
  </si>
  <si>
    <t>RELOCAR BARRA ANTIPÂNICO PARA 90CM DE ACORDO COM A NBR 11785 E COM A NBR 9050, INSTALAR CHAPA NA PORTA E PINTURA GERAL</t>
  </si>
  <si>
    <t>CHAPA DE ACO FINA A QUENTE BITOLA MSG 13, E = 2,25 MM (18,00 KG/M2) 0,94 x 0,40 x 2</t>
  </si>
  <si>
    <t>C052</t>
  </si>
  <si>
    <t>PINTURA ESMALTE ALTO BRILHO, DUAS DEMAOS, SOBRE SUPERFICIE METALICA</t>
  </si>
  <si>
    <t>CONSTRUÇÃO DE ALVENARIA 9X19X19CM, COM REVESTIMENTO CERAMICO 20X20CM,  PARA ADEQUAR BANHEIROS</t>
  </si>
  <si>
    <t>ALVENARIA DE VEDAÇÃO DE BLOCOS CERÂMICOS FURADOS NA HORIZONTAL DE 9X19X19CM (ESPESSURA 9CM) DE PAREDES COM ÁREA LIQUIDA MAIOR OU IGUAL A 6M² COM VÃOS E ARGAMASSA DE ASSENTANENTO COM PREPARO EM BETONEIRA. AF_06/2014</t>
  </si>
  <si>
    <t>m²</t>
  </si>
  <si>
    <t>CHAPISCO APLICADO EM ALVENARIA E ESTRUTURAS DE CONCRETO INTERNAS, COM COLHER DE PEDREIRO. ARGAMASSA TRAÇO 1:3 COM PREPARO EM BETONEIRA 400L. AF_06/2014</t>
  </si>
  <si>
    <t>EMBOÇO OU MASSA ÚNICA EM ARGAMASSA TRAÇO 1:2:8. PREPARO MECANICO COM BETONEIRA 400 L, APLICADA MANUALMENTE EM PLANOS DE FACHADA  COM PRESENÇA DE VÃOS, ESPESSURA DE 25MM. AF_06/2014</t>
  </si>
  <si>
    <t>C037</t>
  </si>
  <si>
    <t>CONSTRUÇÃO DE BLOCO EM CONCRETO SIMPLES, 40X70X30 CM, SEM ARMADURA, REVESTIDO COM PINTURA EPOXI - ESPAÇO PARA CÃO GUIA</t>
  </si>
  <si>
    <t>MONTAGEM E DESMONTAGEM DE FÔRMA DE LAJE MACIÇA COM ÁREA MÉDIA MENOR OU IGUAL A 20 M², PÉ-DIREITO SIMPLES, EM CHAPA DE MADEIRA COMPENSADA PLASTIFICADA, 18 UTILIZAÇÕES. AF_12/2015</t>
  </si>
  <si>
    <t>C038</t>
  </si>
  <si>
    <t>FECHAR VÃO DA PORTA COM ALVENARIA  DE 9X19X19CM (ESPESSURA 9CM) E PINTURA EM TINTA LATEX DUAS DEMÃOS,  CONFORME INDICADO EM PROJETO</t>
  </si>
  <si>
    <t>APLICAÇÃO MANUAL DE PINTURA COM TINTA TEXTURIZADA ACRÍLICA EM PAREDES EXTERNAS DE CASAS, UMA COR. AF_06/2014</t>
  </si>
  <si>
    <t>APLICAÇÃO DE FUNDO SELADOR ACRÍLICO EM PAREDES, UMA DEMÃO. AF_06/2014</t>
  </si>
  <si>
    <t>APLICAÇÃO E LIXAMENTO DE MASSA LÁTEX EM PAREDES, DUAS DEMÃOS. AF_06/2014</t>
  </si>
  <si>
    <t>ADEQUAÇÃO SANITÁRIO FEMININO AUDITÓRIO</t>
  </si>
  <si>
    <t>C038.1</t>
  </si>
  <si>
    <t>FECHAMENTO DE VÃO DE JANELA VENEZIANA EM ALVENARIA  COM PINTURA</t>
  </si>
  <si>
    <t>C043</t>
  </si>
  <si>
    <t>RETIRADA DE CARPETE (COM REAPROVEITAMENTO)</t>
  </si>
  <si>
    <t>PISO EM GRANITO, POLIDO, TIPO ANDORINHA/ QUARTZ/ CASTELO/ CORUMBA OU OUTROS EQUIVALENTES DA REGIAO, FORMATO MENOR OU IGUAL A 3025 CM2, E= *2* CM</t>
  </si>
  <si>
    <t>C045</t>
  </si>
  <si>
    <t xml:space="preserve">READEQUAÇÃO DE LOCAIS POLTRONAS </t>
  </si>
  <si>
    <t>C046</t>
  </si>
  <si>
    <t>MONTANTE METÁLICO DE SUSTENTAÇÃO DA COBERTURA EM COMPOSTO POR  DOIS PERFIL "U" ENRIJECIDO DE ACO GALVANIZADO, DOBRADO, 150 X 60 X 20 MM, E = 3,00 MM, SOLDADO EM FACE DUPLA</t>
  </si>
  <si>
    <t>PERFIL "U" ENRIJECIDO DE ACO GALVANIZADO, DOBRADO, 150 X 60 X 20 MM, E = 3,00 MM</t>
  </si>
  <si>
    <t>C046.1</t>
  </si>
  <si>
    <t>CAIBROS DE TELHAMENTO COMPOSTO POR  DOIS PERFIL  "U" DE ACO LAMINADO, 102 X 9,3, SOLDADO EM FACE DUPLA, FIXADO COM CHUMBADOR PARABOLT, DIAMETRO 1/2"</t>
  </si>
  <si>
    <t xml:space="preserve">PARAFUSO DE ACO TIPO CHUMBADOR PARABOLT, DIAMETRO 1/2", COMPRIMENTO 75 MM </t>
  </si>
  <si>
    <t>PERFIL AÇO LAMINADO, U 101,6 X 40,23 MM (8,04 KG/M) ASTM A36</t>
  </si>
  <si>
    <t>C046.2</t>
  </si>
  <si>
    <t>TERÇA PARA TELHAMENTO COMPOSTO POR   PERFIL  "U" DE ACO LAMINADO, 102 X 9,3</t>
  </si>
  <si>
    <t>ADEQUAÇÃO SALA DE PROJEÇÃO</t>
  </si>
  <si>
    <t>CONCRETO PARA ADEQUAÇÃO DA ESCADA - EXECUÇÃO DE PASSEIO OU PISO DE CONCRETO COM CONCRETO MOLDADO IN LOCO, USINADO, ACABAMENTO CONVENCIONAL, ESPESSURA 8 CM, ARMADO. AF_07/2016</t>
  </si>
  <si>
    <t>C047</t>
  </si>
  <si>
    <t>PELICULA  BLOQUEIO SOLAR 3M SÉRIE AFFINITY OU SIMILAR</t>
  </si>
  <si>
    <t>PISO VINÍLICO SEMI-FLEXÍVEL EM PLACAS, PADRÃO LISO, ESPESSURA 3,2 MM, FIXADO COM COLA. AF_06/2018</t>
  </si>
  <si>
    <t>RODAPE EM MADEIRA, ALTURA 7CM, FIXADO COM COLA</t>
  </si>
  <si>
    <t>C048</t>
  </si>
  <si>
    <t>TUBO ACO GALV C/ COSTURA DIN 2440/NBR 5580 CLASSE MEDIA DN 2" (50MM) E=3,65MM - 5,10KG/M</t>
  </si>
  <si>
    <t>PINTURA ESMALTE BRILHANTE (2 DEMAOS) SOBRE SUPERFICIE METALICA, INCLUSIVE PROTECAO COM ZARCAO (1 DEMAO)</t>
  </si>
  <si>
    <t>ADEQUAÇÃO ASSENTOS PLATEIA</t>
  </si>
  <si>
    <t>RETIRADA DE CHAPA DE GRANITO DE BOX DE BANHEIRO COMO REAPROVEITAMENTO</t>
  </si>
  <si>
    <t>PISO CIMENTADO, TRAÇO 1:3 (CIMENTO E AREIA), ACABAMENTO LISO, ESPESSURA 2,0 CM, PREPARO MECÂNICO DA ARGAMASSA. AF_06/2018</t>
  </si>
  <si>
    <t>C050.1</t>
  </si>
  <si>
    <t>INSTALAÇÃO DE CHAPA DE GRANITO DE BOX MICTÓRIO REAPROVEITADA</t>
  </si>
  <si>
    <t>RETIRADA DE LOUÇAS SANITÁRIAS</t>
  </si>
  <si>
    <t>PLUG PVC ROSCAVEL, 1/2", AGUA FRIA PREDIAL (NBR 5648)</t>
  </si>
  <si>
    <t>CARPETE DE NYLON EM MANTA PARA TRAFEGO COMERCIAL PESADO, E = 6 A 7 MM(INSTALADO)</t>
  </si>
  <si>
    <t>REINSTALAÇÃO DE LOUÇAS SANITÁRIAS</t>
  </si>
  <si>
    <t>PISO VINÍLICO SEMI-FLEXÍVEL EM PLACAS, PADRÃO LISO, ESPESSURA 3,2 MM, FIXADO COM COLA. AF_06/2018 (para bloco do cão guia auditório)</t>
  </si>
  <si>
    <t>C053</t>
  </si>
  <si>
    <t xml:space="preserve">RETIRADA DE BARRA ANTI-PANICO </t>
  </si>
  <si>
    <t>ADEQUAÇÃO ESCADA DO PALCO</t>
  </si>
  <si>
    <t>C054</t>
  </si>
  <si>
    <t xml:space="preserve">MONTAGEM DE BARRAS ANTI-PANICO EM PORTAS </t>
  </si>
  <si>
    <t>CARPINTEIRO DE ESQUADRIA COM ENCARGOS COMPLEMENTARES</t>
  </si>
  <si>
    <t>C054.1</t>
  </si>
  <si>
    <t>FORNECIMENTO E INSTALAÇÃO DE BARRA ANTI-PANICO SIMPLES</t>
  </si>
  <si>
    <t>BARRA ANTIPANICO SIMPLES, COM FECHADURA LADO OPOSTO, COR CINZA</t>
  </si>
  <si>
    <t>C054.2</t>
  </si>
  <si>
    <t>FORNECIMENTO E INSTALAÇÃO DE BARRA ANTI-PANICO DUPLA</t>
  </si>
  <si>
    <t>PAR</t>
  </si>
  <si>
    <t>BARRA ANTIPANICO DUPLA, CEGA LADO OPOSTO, COR CINZA</t>
  </si>
  <si>
    <t xml:space="preserve">ADEQUAÇÃO BARRAS ANTI-PANICO </t>
  </si>
  <si>
    <t>C055</t>
  </si>
  <si>
    <t>ADEQUAÇÃO TUBOS DE AÇO INOX  D= 3,8 EM CORRIMAO E GUARDA-CORPO</t>
  </si>
  <si>
    <t>TUBO DE AÇO INOX 1 1/2" ESP. 1,50mm</t>
  </si>
  <si>
    <t>SOLDA EM BARRA DE ESTANHO-CHUMBO 50/50</t>
  </si>
  <si>
    <t>C084</t>
  </si>
  <si>
    <t>PORTA DE VIDRO TEMPERADO FOLHA DUPLA 1,50X2,10M, ESPESSURA 10MM, INCLUSIVE ACESSORIOS</t>
  </si>
  <si>
    <t>C056</t>
  </si>
  <si>
    <t>ASSENTAMENTO DE SOLEIRA EM GRANITO TABEIRA, L= 10CM, E= 3CM, DEGRAUS E SOLEIRAS, ASSENTADO COM ARGAMASSA AC-III</t>
  </si>
  <si>
    <t>ADEQUAÇÃO RAMPA EXTERNA AUDITÓRIO</t>
  </si>
  <si>
    <t xml:space="preserve">SOLEIRA GRANITO 15 X 3CM </t>
  </si>
  <si>
    <t>C084.1</t>
  </si>
  <si>
    <t>RETIRADA DE GRAMA</t>
  </si>
  <si>
    <t>C057</t>
  </si>
  <si>
    <t>RETIRADA DE JANELAS PARA ADEQUAÇÃO PROJETO</t>
  </si>
  <si>
    <t>PINTURA ACRILICA EM PISO CIMENTADO DUAS DEMAOS</t>
  </si>
  <si>
    <t>C062.1</t>
  </si>
  <si>
    <t>C058</t>
  </si>
  <si>
    <t>ADEQUAÇÃO PONTO VALVULA MICTORIO</t>
  </si>
  <si>
    <t xml:space="preserve">VIDRO COMUM LAMINADO LISO INCOLOR DUPLO, ESPESSURA TOTAL 8 MM (CADA CAMADA DE 4 MM) - COLOCADO </t>
  </si>
  <si>
    <t>VALVULA DE DESCARGA EM METAL CROMADO PARA MICTORIO COM ACIONAMENTO POR PRESSAO E FECHAMENTO AUTOMATICO</t>
  </si>
  <si>
    <t>RUFO EM CHAPA DE AÇO GALVANIZADO NÚMERO 24,CORTE DE 25 CM, INCLUSO TRANSPORTE VERTICAL. AF_06/2016</t>
  </si>
  <si>
    <t>C058.1</t>
  </si>
  <si>
    <t>ADEQUAÇÃO PONTO VALVULA MICTORIO  SEM SUBSTITUIÇÃO DE VALVULA</t>
  </si>
  <si>
    <t>C058.2</t>
  </si>
  <si>
    <t>ADEQUAÇÃO PONTO VALVULA MICTORIO E INSTALAR MICTÓRIO</t>
  </si>
  <si>
    <t>UNS</t>
  </si>
  <si>
    <t xml:space="preserve"> MICTORIO SIFONADO LOUCA COR SEM COMPLEMENTOS</t>
  </si>
  <si>
    <t>ENGATE / RABICHO FLEXIVEL INOX 1/2 " X 30 CM</t>
  </si>
  <si>
    <t>TUBO PVC, SÉRIE R, ÁGUA PLUVIAL, DN 100 MM, FORNECIDO E INSTALADO EM CONDUTORES VERTICAIS DE ÁGUAS PLUVIAIS. AF_12/2014</t>
  </si>
  <si>
    <t xml:space="preserve">PINTURA ESMALTE ALTO BRILHO, DUAS DEMÃOS, SOBRE SUPERFICIE METALICA (calha e rufo) </t>
  </si>
  <si>
    <t>C059</t>
  </si>
  <si>
    <t>INVERTER SENTIDO DE ABERTURA PORTA DO BANHEIRO E INSTALAR PUXADOR HORIZONTAL</t>
  </si>
  <si>
    <t>ESCAVAÇÃO MANUAL DE VIGA DE BORDA PARA RADIER. AF_09/2017</t>
  </si>
  <si>
    <t xml:space="preserve">CONCRETAGEM DE BLOCOS DE COROAMENTO E VIGAS BALDRAME, FCK 30 MPA COM  USO DE JERICA  LANÇAMENTO, ADENSAMENTO E ACABAMENTO. AF_06/2017
 </t>
  </si>
  <si>
    <t>BARRA DE APOIO RETA, EM ACO INOX POLIDO, COMPRIMENTO 60CM, DIAMETRO MINIMO 3CM</t>
  </si>
  <si>
    <t>CORTE E DOBRA DE AÇO CA-50, DIÂMETRO DE 6,3 MM, UTILIZADO EM ESTRUTURAS DIVERSAS, EXCETO LAJES. AF_12/2015</t>
  </si>
  <si>
    <t>CORTE E DOBRA DE AÇO CA-50, DIÂMETRO DE 8,0 MM, UTILIZADO EM ESTRUTURAS DIVERSAS, EXCETO LAJES. AF_12/2015</t>
  </si>
  <si>
    <t>CORTE E DOBRA DE AÇO CA-50, DIÂMETRO DE 10,0 MM, UTILIZADO EM ESTRUTURAS DIVERSAS, EXCETO LAJES. AF_12/2015</t>
  </si>
  <si>
    <t>337</t>
  </si>
  <si>
    <t>ARAME RECOZIDO 18 BWG, 1,25 MM (0,01 KG/M)</t>
  </si>
  <si>
    <t>C060.1</t>
  </si>
  <si>
    <t>ESTACA ESCAVADA MECANICAMENTE, SEM FLUIDO ESTABILIZANTE, COM 32 CM DE DIÂMETRO, CONCRETO LANÇADO POR CAMINHÃO BETONE IRA (EXCLUSIVE MOBILIZAÇÃO E DESMOBILIZAÇÃO). AF_02/2015</t>
  </si>
  <si>
    <t>C074</t>
  </si>
  <si>
    <t>REFORMA DE PORTA DE MADEIRA</t>
  </si>
  <si>
    <t>CHUMBADOR DE ACO TIPO PARABOLT, * 5/8" X 200* MM, COM PORCA E ARRUELA</t>
  </si>
  <si>
    <t>GRELHA DE FERRO FUNDIDO PARA CANALETA LARG = 15CM, FORNECIMENTO E ASSENTAMENTO</t>
  </si>
  <si>
    <t xml:space="preserve"> PERFIL "U" ENRIJECIDO DE ACO GALVANIZADO, DOBRADO, 150 X 60 X 20 MM, E = 3,00 MM </t>
  </si>
  <si>
    <t>PUXADOR CENTRAL PARA ESQUADRIA DE ALUMINIO</t>
  </si>
  <si>
    <t>ELETRODO REVESTIDO AWS - E-6010, DIAMETRO IGUAL A 4,00 MM KG CR 18,76</t>
  </si>
  <si>
    <t>PINTURA ESMALTE ALTO BRILHO, DUAS DEMÃOS, SOBRE SUPERFICIE METALICA RAMPA EXTERNA AUDITÓRIO( Montantes metálicos estrutura do telhado)</t>
  </si>
  <si>
    <t xml:space="preserve">00582/ORSE </t>
  </si>
  <si>
    <t xml:space="preserve">CHAPA XADREZ 3/16" - 4,75MM - (38,00KG/M2) </t>
  </si>
  <si>
    <t xml:space="preserve">ELETRODO REVESTIDO AWS - E-6010, DIAMETRO IGUAL A 4,00 MM </t>
  </si>
  <si>
    <t>VALOR  AUDITÓRIO.....................................................:</t>
  </si>
  <si>
    <t>VALOR TOTAL DO AUDITÓRIO...................................................:</t>
  </si>
  <si>
    <t>ADMINISTRATIVO</t>
  </si>
  <si>
    <t>ADEQUAÇÃO SANITARIO MASCULINO TÉRREO ADMINISTRATIVO (SANITÁRIO DE USO PÚBLICO)  DETALHE 01</t>
  </si>
  <si>
    <t xml:space="preserve">DEMOLIÇÃO DE ALVENARIA DE BLOCO FURADO, DE FORMA MANUAL, SEM REAPROVEITAMENTO. AF_12/2017 </t>
  </si>
  <si>
    <t>DEMOLIÇÃO DE ALVENARIA DE BLOCO FURADO, DE FORMA MANUAL, SEM REAPROVEITAMENTO</t>
  </si>
  <si>
    <t>ALVENARIA DE VEDAÇÃO DE BLOCOS CERÂMICOS FURADOS NA HORIZONTAL DE 9X19X19CM (ESPESSURA 9CM) DE PAREDES COM ÁREA LÍQUIDA MENOR QUE 6M² SEM VÃ</t>
  </si>
  <si>
    <t xml:space="preserve"> MASSA ÚNICA, PARA RECEBIMENTO DE PINTURA, EM ARGAMASSA TRAÇO 1:2:8, PREPARO MECÂNICO COM BETONEIRA 400L, APLICADA MANUALMENTE EM FACES INTERNAS DE PAREDES, ESPESSURA DE 20MM, COM EXECUÇÃO DE TALISCAS. AF_06/201</t>
  </si>
  <si>
    <t>APLICAÇÃO MANUAL DE PINTURA COM TINTA LÁTEX PVA EM TETO, DUAS DEMÃOS. 
AF_06/2014</t>
  </si>
  <si>
    <t xml:space="preserve"> PERFIL "U" ENRIJECIDO DE ACO GALVANIZADO, DOBRADO, 200 X 75 X 25 MM, E = 3,75 MM KG AS 6,30</t>
  </si>
  <si>
    <t xml:space="preserve"> PERFIL "U" ENRIJECIDO DE ACO GALVANIZADO, DOBRADO, 150 X 60 X 20 MM, E = 3,00 MM</t>
  </si>
  <si>
    <t xml:space="preserve">CHAPA DE ACO GROSSA, ASTM A36, E = 1/4 " (6,35 MM) 49,79 KG/M2 </t>
  </si>
  <si>
    <t xml:space="preserve"> CHAPA DE ACO GROSSA, ASTM A36, E = 1/2 " (12,70 MM) 99,59 KG/M2 </t>
  </si>
  <si>
    <t>PARAFUSO DE ACO TIPO CHUMBADOR PARABOLT, DIAMETRO 3/8", COMPRIMENTO 75 MM UN CR 1,76</t>
  </si>
  <si>
    <t xml:space="preserve"> CHAPA DE ACO GROSSA, ASTM A36, E = 3/8 " (9,53 MM) 74,69 KG/M2 KG CR 5,49</t>
  </si>
  <si>
    <t>C087</t>
  </si>
  <si>
    <t>C060</t>
  </si>
  <si>
    <t>INSTALAÇÃO DE PERFIL METALICO 1,50 CM PARA BOCEL CONFORME PROJETO E NORMAS</t>
  </si>
  <si>
    <t>C061</t>
  </si>
  <si>
    <t>INSTALAÇÃO DE COMPLEMENTO DE CHAPA XADREZ PARA PISO NA ESCADA METÁLICA , E=CHAPA XADREZ 3/16" - 4,75MM - PARA  GUIA DE BALIZAMENTO</t>
  </si>
  <si>
    <t>LIMPEZA DE PISO CERÂMICO OU PORCELANATO COM PANO ÚMIDO. AF_04/2019</t>
  </si>
  <si>
    <t>C062</t>
  </si>
  <si>
    <t>ADEQUAÇÃO DE CORRIMÃO EM AÇO GALVANIZADO Ø=3,8CM, E INSTALAÇÃO DE CORRIMÃO NA SEGUNDA ALTURA INCLUSIVE PINTURA</t>
  </si>
  <si>
    <t>ADEQUAÇÃO ESCADA (ENTRE SANITÁRIOS MASCULINO E FEMININO)</t>
  </si>
  <si>
    <t>DEMOLIÇÃO DE REVESTIMENTO CERÂMICO, DE FORMA MECANIZADA COM MARTELETE, SEM REAPROVEITAMENTO. AF_12/2017</t>
  </si>
  <si>
    <t>CONTRAPISO EM ARGAMASSA TRAÇO 1:4 (CIMENTO E AREIA), PREPARO MECÂNICO COM BETONEIRA 400 L, APLICADO EM ÁREAS SECAS SOBRE LAJE, ADERIDO, ESPESSURA 3CM. AF_06/2014</t>
  </si>
  <si>
    <t>REVESTIMENTO CERÂMICO PARA PISO COM PLACAS TIPO PORCELANATO DE DIMENSÕES 60X60 CM APLICADA EM AMBIENTES DE ÁREA MAIOR QUE 10 M². AF_06/2014</t>
  </si>
  <si>
    <t>RETIRADA E REINSTALAÇÃO  CORRIMÃO DUPLO EM AÇO GALVANIZADO Ø=3,8CM,  COM ADEQUAÇÕES DE ALTURA PARA 70CM E 92CM,  INCLUSIVE PINTURA</t>
  </si>
  <si>
    <t>C063</t>
  </si>
  <si>
    <t xml:space="preserve">MUDANÇA DA TUBULAÇÃO DO SHAFT </t>
  </si>
  <si>
    <t>TUBO PVC SERIE NORMAL, DN 100 MM, PARA ESGOTO PREDIAL (NBR 5688)</t>
  </si>
  <si>
    <t>ADEQUAÇÃO SANITARIO FEMININO TÉRREO ADMINISTRATIVO (SANITÁRIO DE USO PÚBLICO) DETALHE 01</t>
  </si>
  <si>
    <t>C064</t>
  </si>
  <si>
    <t xml:space="preserve">ESTRUTURA METALICA PARA ESCADA EXTERNA </t>
  </si>
  <si>
    <t>ESCADA METALICA COM DEGRAUS EM CHAPAS CORRUGADAS</t>
  </si>
  <si>
    <t xml:space="preserve"> DEMOLIÇÃO DE ALVENARIA DE BLOCO FURADO, DE FORMA MANUAL, SEM REAPROVEITAMENTO. AF_12/2017 </t>
  </si>
  <si>
    <t>C065</t>
  </si>
  <si>
    <t>FUNDAÇÃO PARA ESCADA COM ESTACAS DE 6 METROS, 40CM DE DIAMENTRO, ARMADURA CIRCULAR COM AÇO 8,0 MM  E BLOCOS 60X60X60</t>
  </si>
  <si>
    <t>ESTACA ESCAVADA MECANICAMENTE, SEM FLUIDO ESTABILIZANTE, COM 40 CM DE DIÂMETRO, ATÉ 9 M DE COMPRIMENTO, CONCRETO LANÇADO POR CAMINHÃO BETONE IRA (EXCLUSIVE MOBILIZAÇÃO E DESMOBILIZAÇÃO). AF_02/2015</t>
  </si>
  <si>
    <t>ARMAÇÃO DE BLOCO, VIGA BALDRAME OU SAPATA UTILIZANDO AÇO CA-50 DE 8 MM - MONTAGEM. AF_06/2017</t>
  </si>
  <si>
    <t>C066</t>
  </si>
  <si>
    <t>FUNDAÇÃO PARA ESCADA COM ESTACAS DE 6 METROS, 30CM DE DIAMETROS E BLOCOS 0,52x0,52x0,55 BLOCO A</t>
  </si>
  <si>
    <t>ESTACA ESCAVADA MECANICAMENTE, SEM FLUIDO ESTABILIZANTE, COM 40 CM DE DIÂMETRO,  ATÉ 9 M DE COMPRIMENTO, CONCRETO LANÇADO POR CAMINHÃO BETONE IRA (EXCLUSIVE MOBILIZAÇÃO E DESMOBILIZAÇÃO). AF_02/2015</t>
  </si>
  <si>
    <t>C066.1</t>
  </si>
  <si>
    <t>FUNDAÇÃO PARA ESCADA COM ESTACAS DE 9 METROS, 40CM DE DIAMETROS E BLOCOS 0,52x0,52x0,55 - BLOCO B</t>
  </si>
  <si>
    <t xml:space="preserve">ADEQUAÇÃO ESCADA PRINCIPAL </t>
  </si>
  <si>
    <t>RECOMPOSIÇÃO DE PAVIMENTO INTERTRAVADO</t>
  </si>
  <si>
    <t>CALCETEIRO COM ENCARGOS COMPLEMENTARES</t>
  </si>
  <si>
    <t>CONTRAPISO EM ARGAMASSA TRAÇO 1:4 (CIMENTO E AREIA), PREPARO MECÂNICO  COM BETONEIRA 400 L, APLICADO EM ÁREAS SECAS SOBRE LAJE, ADERIDO, ESPESSURA 3CM. AF_06/2014</t>
  </si>
  <si>
    <t>C068</t>
  </si>
  <si>
    <t>REMANEJAMENTO DE LUMINÁRIA</t>
  </si>
  <si>
    <t>C069</t>
  </si>
  <si>
    <t>RODAPE EM POLIESTIRENO, BRANCO</t>
  </si>
  <si>
    <t>MARCENEIRO COM ENCARGOS COMPLEMENTARES</t>
  </si>
  <si>
    <t>RODAPE EM POLIESTIRENO, BRANCO, H = *5* CM, E = *1,5* CM</t>
  </si>
  <si>
    <t xml:space="preserve">CARGA MANUAL DE ENTULHO EM CAMINHAO BASCULANTE 6 </t>
  </si>
  <si>
    <t>C070</t>
  </si>
  <si>
    <t>C016.1</t>
  </si>
  <si>
    <t>RETIRADA DE BALÇÃO DE GRANITO</t>
  </si>
  <si>
    <t>01996/ORSE</t>
  </si>
  <si>
    <t>TAMPO DE BALCÃO EM GRANITO PRETO, E=2CM</t>
  </si>
  <si>
    <t>C071</t>
  </si>
  <si>
    <t>REFORÇO ESTRUTURAL E DE FUNDAÇÃO PARA ESCADAS DAS ARQUIBANCADAS DO GINÁSIO, COM ESTACAS DE 5 METROS, 30CM DE DIAMETROS, BLOCOS E VIGAS</t>
  </si>
  <si>
    <t>ESTACA ESCAVADA MECANICAMENTE, SEM FLUIDO ESTABILIZANTE, COM 32 CM DE DIÂMETRO, ATÉ 9 M DE COMPRIMENTO, CONCRETO LANÇADO POR CAMINHÃO BETONE IRA (EXCLUSIVE MOBILIZAÇÃO E DESMOBILIZAÇÃO). AF_02/2015</t>
  </si>
  <si>
    <t>ADEQUAÇÃO SAÍDA 03 TÉRREO</t>
  </si>
  <si>
    <t>PORTA CORTA-FOGO 90X210X4CM - FORNECIMENTO E INSTALAÇÃO. AF_08/2015</t>
  </si>
  <si>
    <t>C072</t>
  </si>
  <si>
    <t>RETIRADA DE TUBULAÇÃO DE AGUAS PLUVIAIS 200mm</t>
  </si>
  <si>
    <t>REMOÇÃO DE CHAPAS E PERFIS DE DRYWALL, DE FORMA MANUAL, SEM REAPROVEITAMENTO. AF_12/2017</t>
  </si>
  <si>
    <t>CONCRETO FCK = 20MPA, TRAÇO 1:2,7:3 (CIMENTO/ AREIA MÉDIA/ BRITA 1) PREPARO MECÂNICO COM BETONEIRA 400 L. AF_07/2016</t>
  </si>
  <si>
    <t>FORRO EM DRYWALL, PARA AMBIENTES RESIDENCIAIS, INCLUSIVE ESTRUTURA DEFIXAÇÃO. AF_05/2017_P</t>
  </si>
  <si>
    <t xml:space="preserve">CANTONEIRA FERRO GALVANIZADO DE ABAS IGUAIS, 1 1/2" X 1/4" (L X E), 3,40 KG/M M </t>
  </si>
  <si>
    <t xml:space="preserve"> SANITÁRIO MASCULINO SERVIDORES ADMNISTRATIVO TÉRREO - DETALHE 03</t>
  </si>
  <si>
    <t>C073</t>
  </si>
  <si>
    <t>REFORÇO ESTRUTURAL E DE FUNDAÇÃO PARA RAMPA E FACHADA DO AUDITÓRIO, COM ESTACA DE 5 METROS, 30CM DE DIAMETRO, VIGAS E BLOCOS</t>
  </si>
  <si>
    <t xml:space="preserve">  M²</t>
  </si>
  <si>
    <t>REVESTIMENTO EM LAMINADO MELAMINICO TEXTURIZADO, ESPESSURA 0,8 MM, FIXADO COM COLA</t>
  </si>
  <si>
    <t>C075</t>
  </si>
  <si>
    <t>RELOCAÇÃO DE POSTE DE JARDIM</t>
  </si>
  <si>
    <t>AUXILIAR DE ELETRICISTA COM ENCARGOS COMPLEMENTARES</t>
  </si>
  <si>
    <t>C076</t>
  </si>
  <si>
    <t>RETIRADA E REINSTALAÇÃO DE  DOIS APARELHOS DE AR CONDICIONADO</t>
  </si>
  <si>
    <t>MECANICO DE REFRIGERACAO COM ENCARGOS COMPLEMENTARES</t>
  </si>
  <si>
    <t>AUXILIAR DE MECANICO COM ENCARGOS COMPLEMENTARES</t>
  </si>
  <si>
    <t>TUBO DE COBRE FLEXIVEL, D = 5/8 ", E = 0,79 MM, PARA AR-CONDICIONADO/ GAS RESIDENCIAIS E COMERCIAISINSTALACOES</t>
  </si>
  <si>
    <t>TUBO DE ESPUMA DE POLIETILENO EXPANDIDO FLEXIVEL PARA ISOLAMENTO TERMICO DETUBULACAO DE AR CONDICIONADO, AGUA QUENTE, DN 1 5/8", E= 10 MM</t>
  </si>
  <si>
    <t>ORÇAMENTO  PRELIMINAR RESUMO</t>
  </si>
  <si>
    <t>TUBO, PVC, SOLDÁVEL, DN 25MM, INSTALADO EM DRENO DE AR-CONDICIONADOFORNECIMENTO E INSTALAÇÃO. AF_12/2014</t>
  </si>
  <si>
    <t>C077</t>
  </si>
  <si>
    <t>RETIRADA E REINSTALAÇÃO DE  PORTA DE VIDRO DUPLA</t>
  </si>
  <si>
    <t>AUXILIAR DE SERRALHEIRO COM ENCARGOS COMPLEMENTARES</t>
  </si>
  <si>
    <t>GONZO DE EMBUTIR, EM LATAO / ZAMAC, *20 X 48* MM, PARA JANELA BASCULANTE /PIVOTANTE - INCLUI PARAFUSOS</t>
  </si>
  <si>
    <t>TOTAL ITEM (R$)</t>
  </si>
  <si>
    <t>C078</t>
  </si>
  <si>
    <t>RETIRADA E REINSTALAÇÃO DE  TUBO DE DESCIDA DE AGUAS PLUVIAIS</t>
  </si>
  <si>
    <t>B.D.I.</t>
  </si>
  <si>
    <t>V.TOTAL(R$)</t>
  </si>
  <si>
    <t>TUBO PVC, SERIE NORMAL, ESGOTO PREDIAL, DN 100 MM, FORNECIDO E INSTALADO EM PRUMADA DE ESGOTO SANITÁRIO OU VENTILAÇÃO. AF_12/2014</t>
  </si>
  <si>
    <t>C079</t>
  </si>
  <si>
    <t>INVERSÃO DE ABERTURA DE PORTA DUPLA METÁLICA</t>
  </si>
  <si>
    <t>SANITÁRIO FEMININO SERVIDORES - ADMINISTRATIVO TÉRREO DETALHE 03</t>
  </si>
  <si>
    <t>ELETRODO REVESTIDO AWS - E6013, DIAMETRO IGUAL A 2,50 MM</t>
  </si>
  <si>
    <t>DOBRADICA EM ACO/FERRO, 3" X 2 1/2", E= 1,9 A 2 MM, SEM ANEL, CROMADO OU ZINCADO,TAMPA BOLA, COM PARAFUSOS</t>
  </si>
  <si>
    <t>AJUDANTE DE PEDREIRO COM ENCARGOS COMPLEMENTARES</t>
  </si>
  <si>
    <t>C080.1</t>
  </si>
  <si>
    <t>BLOCO DE CONCRETO 20MPA, DIMENSÕES=60X60X60, ARMADURA 8,00MM E 6,3MM</t>
  </si>
  <si>
    <t>FABRICAÇÃO, MONTAGEM E DESMONTAGEM DE FÔRMA PARA BLOCO DE COROAMENTO, M2 CR 63,02
EM MADEIRA SERRADA, E=25 MM, 4 UTILIZAÇÕES. AF_06/2017</t>
  </si>
  <si>
    <t>ESCAVAÇÃO MECANIZADA PARA BLOCO DE COROAMENTO OU SAPATA, COM PREVISÃO M3 AS 31,77
DE FÔRMA, COM RETROESCAVADEIRA. AF_06/2017</t>
  </si>
  <si>
    <t>CONCRETO FCK = 20MPA, TRAÇO 1:2,7:3 (CIMENTO/ AREIA MÉDIA/ BRITA 1) - PREPARO MECÂNICO COM BETONEIRA 400 L. AF_07/2016</t>
  </si>
  <si>
    <t>kg</t>
  </si>
  <si>
    <t>C080.2</t>
  </si>
  <si>
    <t>PILIAR METÁLICO EM TUBO ACO CARBONO SEM COSTURA 8", E= *6,35 MM, REFORÇO NA BASE EM CHAPA METÁLICA #6,35MM</t>
  </si>
  <si>
    <t xml:space="preserve"> TUBO ACO CARBONO SEM COSTURA 8", E= *6,35 MM, SCHEDULE 20, *33,27 KG/M</t>
  </si>
  <si>
    <t>CHAPA DE ACO GROSSA, ASTM A36, E = 1/4 " (6,35 MM) 49,79 KG/M2 KG CR 5,28</t>
  </si>
  <si>
    <t>C080.3</t>
  </si>
  <si>
    <t>FABRICAÇÃO E INSTALAÇÃO DE BANZO EM PERFIL AÇO, UDC SIMPLES 100 X 40</t>
  </si>
  <si>
    <t>13108/ORSE</t>
  </si>
  <si>
    <t xml:space="preserve">PERFIL AÇO, UDC SIMPLES 100 X 40 X 4,01(KG/M)
</t>
  </si>
  <si>
    <t>MONTADOR DE ESTRUTURA METÁLICA COM ENCARGOS COMPLEMENTARES</t>
  </si>
  <si>
    <t>C080.4</t>
  </si>
  <si>
    <t>FORNECIMENTO E INSTALAÇÃO DE TERÇAS EM PERFIL "U" SIMPLES DE ACO GALVANIZADO DOBRADO 75 X *40* MM, E = 2,65 MM</t>
  </si>
  <si>
    <t xml:space="preserve">PERFIL "U" SIMPLES DE ACO GALVANIZADO DOBRADO 75 X *40* MM, E = 2,65 MM </t>
  </si>
  <si>
    <t>C080.5</t>
  </si>
  <si>
    <t>TELHA DE ACO ZINCADO ONDULADA, A = *17* MM, E = 0,5 MM, SEM PINTURA</t>
  </si>
  <si>
    <t>und</t>
  </si>
  <si>
    <t>ALVENARIA DE EMBASAMENTO EM TIJOLOS CERAMICOS MACICOS 5X10X20CM, ASSEN M3 CR 621,90
TADO COM ARGAMASSA TRACO 1:2:8 (CIMENTO, CAL E AREIA)</t>
  </si>
  <si>
    <t>CONTRAPISO EM ARGAMASSA TRAÇO 1:4 (CIMENTO E AREIA), PREPARO MECÂNICO M2 CR 34,19
COM BETONEIRA 400 L, APLICADO EM ÁREAS SECAS SOBRE LAJE, NÃO ADERIDO,
ESPESSURA 5CM. AF_06/2014</t>
  </si>
  <si>
    <t>GRADIL COM QUADRO EM TUBO DE FERRO GALVANIZADO 1 1/4" E TELA GALVANIZADA MALHA 2"</t>
  </si>
  <si>
    <t>ADEQUAÇÃO VESTIÁRIO FEMININO ADMINISTRATIVO - detalhe 04</t>
  </si>
  <si>
    <t>C082</t>
  </si>
  <si>
    <t>PORTA CORTA FOGO, DE ABRIR, 02 FOLHAS, EM CHAPA DE AÇO GALVANIZADO Nº24, BATENTE EM CHAPA Nº18, CLASSE 90, ISOLANTE EM MANTA CERÂMICA INCOMBUSTÍVEL E=5CM, DOBRADIÇAS TIPO HELICOIDAL EM AÇO</t>
  </si>
  <si>
    <t>C082.1</t>
  </si>
  <si>
    <t xml:space="preserve">PORTA CORTA-FOGO 100X210X4CM - FORNECIMENTO E INSTALAÇÃO </t>
  </si>
  <si>
    <t>PORTA CORTA-FOGO PARA SAIDA DE EMERGENCIA, COM FECHADURA, VAO LUZ DE 90 X 210 CM, CLASSE P-90 (NBR 11742)</t>
  </si>
  <si>
    <t>C082.2</t>
  </si>
  <si>
    <t>composição</t>
  </si>
  <si>
    <t xml:space="preserve">INSTALAÇÃO DE PORTA CORTA FOGO USADA DE 2 FOLHAS </t>
  </si>
  <si>
    <t>C082.3</t>
  </si>
  <si>
    <t xml:space="preserve">BARRA DE APOIO EM TUBO DE AÇO INOXIDÁVEL OU ALUMÍNIO, COM 70 CM, DIAM. 30 À 45 MM, FIXAÇÃO VERTICAL NA PAREDE </t>
  </si>
  <si>
    <t>PORTA CORTA-FOGO de 1 FOLHA 110X210X4CM - FORNECIMENTO E INSTALAÇÃO (vão luz de 1 m) COM FECHADURA</t>
  </si>
  <si>
    <t>PORTA CORTA-FOGO PARA SAIDA DE EMERGENCIA, COM FECHADURA, VAO LUZ DE 100 X 210 CM, CLASSE P-90 (NBR 11742)</t>
  </si>
  <si>
    <t>RELOCAÇÃO DE PLACAS DIVISÓRIAS DE GRANILITE, CONSIDERANDO REAPROVEITAMENTO DO MATERIAL</t>
  </si>
  <si>
    <t>C083</t>
  </si>
  <si>
    <t>READEQUAÇÃO DE GRANITOS EXISTENTES PARA TRANSFORMAR NO BALCÃO DE ATENDIMENTO - INCLUINDO A INSTALAÇÃO</t>
  </si>
  <si>
    <t>VALOR DA OBRA.................................................................................:</t>
  </si>
  <si>
    <t>BONIFICAÇÃO E DESPESAS INDIRETAS - B.D.I. ...............................: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</si>
  <si>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</si>
  <si>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</si>
  <si>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VALOR TOTAL DA OBRA.....................................................................:</t>
  </si>
  <si>
    <t>PUXADOR CONCHA DE EMBUTIR, EM LATAO CROMADO, PARA PORTA / JANELA DE CORRER, LISO, SEM FURO PARA CHAVE, COM FUROS PARA FIXAR PARAFUSOS, *30 X 90* MM (LARGURA X ALTURA)</t>
  </si>
  <si>
    <t>SERVENTE DE OBRAS</t>
  </si>
  <si>
    <t xml:space="preserve">                                                      ________________________________________</t>
  </si>
  <si>
    <t>C085</t>
  </si>
  <si>
    <t>CALHA EM CHAPA DE AÇO GALVANIZADO NÚMERO 26, DESENVOLVIMENTO DE 45CM</t>
  </si>
  <si>
    <t>ADEQUAÇÃO VESTIÁRIO MASCULINO ADMINISTRATIVO - DETALHE 05</t>
  </si>
  <si>
    <t>CALHA PLATIBANDA DE CHAPA DE ACO GALVANIZADA NUM 26, CORTE 45 CM</t>
  </si>
  <si>
    <t>C086</t>
  </si>
  <si>
    <t>GUARDA-CORPO DE AÇO GALVANIZADO DE 1,10M, TRAVESSA SUPERIOR E INFERIOR DE 1.1/2", GRADIL FORMADO POR TUBOS  VERTICAIS DE 1", FIXADO COM ESPAÇAMENTO A CADA 10CM.</t>
  </si>
  <si>
    <t>TUBO ACO GALVANIZADO COM COSTURA, CLASSE LEVE, DN 40 MM ( 1 1/2"), E = 3,00 MM, *3,48* KG/M (NBR 5580)</t>
  </si>
  <si>
    <t>TUBO ACO GALVANIZADO COM COSTURA, CLASSE LEVE, DN 25 MM ( 1"),E = 2,65 MM,*2,11* KG/M (NBR 5580)</t>
  </si>
  <si>
    <t xml:space="preserve">ELETRODO REVESTIDO AWS - E6013, DIAMETRO IGUAL A 2,50 MM
</t>
  </si>
  <si>
    <t>C086.1</t>
  </si>
  <si>
    <t>GUARDA-CORPO DE AÇO GALVANIZADO DE 1,30M, TRAVESSA SUPERIOR DE 1.1/2", GRADIL FORMADO POR TUBOS  VERTICAIS DE 1", FIXADO COM ESPAÇAMENTO A CADA 11CM.</t>
  </si>
  <si>
    <t>LAVATÓRIO LOUÇA BRANCA SUSPENSO, 29,5 X 39CM OU EQUIVALENTE, PADRÃO POPULAR - FORNECIMENTO E INSTALAÇÃO. AF_12/2013</t>
  </si>
  <si>
    <t>VÁLVULA EM PLÁSTICO 1" PARA PIA, TANQUE OU LAVATÓRIO, COM OU SEM LADRÃO - FORNECIMENTO E INSTALAÇÃO. AF_12/2013</t>
  </si>
  <si>
    <t>SIFÃO DO TIPO FLEXÍVEL EM PVC 1 X 1.1/2 - FORNECIMENTO E INSTALAÇÃO. AF_12/2013</t>
  </si>
  <si>
    <t>ENGATE FLEXÍVEL EM PLÁSTICO BRANCO, 1/2" X 30CM - FORNECIMENTO E INSTALAÇÃO. AF_12/2013</t>
  </si>
  <si>
    <t>RETIRADA DE ESPELHO  E INSTALAÇÃO DE NOVO  ESPELHO</t>
  </si>
  <si>
    <t>SERVENTE COM ENCARGOS COMPLEMENTARES H C</t>
  </si>
  <si>
    <t xml:space="preserve">ESPELHO CRISTAL E = 4 MM </t>
  </si>
  <si>
    <t xml:space="preserve"> SERVENTE COM ENCARGOS COMPLEMENTARES </t>
  </si>
  <si>
    <t xml:space="preserve"> VIDRACEIRO COM ENCARGOS COMPLEMENTARES </t>
  </si>
  <si>
    <t>ADEQUAÇÃO SANITARIO MASCULINO SUPERIOR ADMINISTRATIVO</t>
  </si>
  <si>
    <t>C0029</t>
  </si>
  <si>
    <t>ADEQUAÇÃO SANITARIO FEMININO SUPERIOR ADMINISTRATIVO</t>
  </si>
  <si>
    <t>SANITÁRIO MASCULINO BIBLIOTECA</t>
  </si>
  <si>
    <t>SANITÁRIO FEMININO BIBLIOTECA</t>
  </si>
  <si>
    <t>SANITÁRIO FEMININO E MASCULINO EXCLUSIVO BIBLIOTECA</t>
  </si>
  <si>
    <t>07388/orse</t>
  </si>
  <si>
    <t>CLUNA SUSPENSA DE LOÇA PARA  LAVATÓRIO, LINHA VOGUE PLUS CONFORTO, REF: C-510, DECA OU SIMILAR</t>
  </si>
  <si>
    <t>ADEQUAÇÃO ESCADA EXTERNA ADMINISTRATIVO</t>
  </si>
  <si>
    <t>DEMOLIÇÃO DE ALVENARIA DE BLOCO FURADO, DE FORMA MANUAL, SEM REAPROVEITAMENTO (PARA COLOCAR PORTA PCF)</t>
  </si>
  <si>
    <t>REMOÇÃO DE PORTAS, DE FORMA MANUAL, SEM REAPROVEITAMENTO. AF_12/2017</t>
  </si>
  <si>
    <t xml:space="preserve">PORTA CORTA-FOGO 90X210X4CM - FORNECIMENTO E INSTALAÇÃO </t>
  </si>
  <si>
    <t>BARRA ANTIPANICO SIMPLES, CEGA LADO OPOSTO, COR CINZA</t>
  </si>
  <si>
    <t>DEMOLIÇÃO PARTE PASSEIO PARA INSTALAÇÃO LADRILHO HIDRAULICO - DEMOLIÇÃO DE ARGAMASSAS, DE FORMA MANUAL, SEM REAPROVEITAMENTO. AF_12/2017</t>
  </si>
  <si>
    <t>PINTURA ESMALTE ALTO BRILHO, DUAS DEMÃOS, SOBRE SUPERFICIE METALICA PARA GUARDA CORPO</t>
  </si>
  <si>
    <t>PAREDE COM PLACAS DE GESSO ACARTONADO (DRYWALL), PARA USO INTERNO, COM DUAS FACES SIMPLES E ESTRUTURA METÁLICA COM GUIAS SIMPLES, COM VÃOS AF_06/2017_P</t>
  </si>
  <si>
    <t>RECOLOCACAO DE FOLHAS DE PORTA DE PASSAGEM OU JANELA, CONSIDERANDO REAPROVEITAMENTO DO MATERIAL (APROVEITANDO PORTAS EXISTENTES NO CAMPUS)</t>
  </si>
  <si>
    <t>ADEQUAÇÃO SAÍDA 01 TÉRREO</t>
  </si>
  <si>
    <t>DEMOLIÇÃO DE ALVENARIA DE BLOCO FURADO, DE FORMA MANUAL, SEM REAPROVEITAMENTO. AF_12/2017 (JANELAS CIRCULAÇÃO)</t>
  </si>
  <si>
    <t>REMOÇÃO DE JANELAS, DE FORMA MANUAL, SEM REAPROVEITAMENTO</t>
  </si>
  <si>
    <t>PINTURA DE PORTA CORTAFOGO 2 DEMAOS</t>
  </si>
  <si>
    <t>VALOR  ADMINISTRATIVO.....................................................:</t>
  </si>
  <si>
    <t>VALOR TOTAL DO ADMINISTRATIVO...................................................:</t>
  </si>
  <si>
    <t>SALAS DE AULAS</t>
  </si>
  <si>
    <t xml:space="preserve">ADEQUAÇÃO ESCADA EXTERNA EXISTENTE NO BLOCO A </t>
  </si>
  <si>
    <t>PINTURA ESMALTE ALTO BRILHO, DUAS DEMÃOS, SOBRE SUPERFICIE METALICA PARA ESCADA, INCLUINDO GUARDA CORPO</t>
  </si>
  <si>
    <t>C060.5</t>
  </si>
  <si>
    <t>ADEQUAÇÃO DO VÃO DA PORTA CORTA FOGO, INCLUINDO REMOÇÃO DA PORTA EXISTENTE, FECHAMENTO DE ALVENARIA, REQUAÇÃO E PINTURA</t>
  </si>
  <si>
    <t xml:space="preserve">EXECUÇÃO  DE ESCADA PARA CRIAÇÃO DE  NOVA SAÍDA DE EMERGÊNCIA NO BLOCO A </t>
  </si>
  <si>
    <t>C060.7</t>
  </si>
  <si>
    <t>LIMPEZA DO TERRENO E RETIRADAS DE OBSTÁCULOS</t>
  </si>
  <si>
    <t>ESTACA ESCAVADA MECANICAMENTE, SEM FLUIDO ESTABILIZANTE, COM 25 CM DE
DIÂMETRO, ATÉ 9 M DE COMPRIMENTO, CONCRETO LANÇADO POR CAMINHÃO BETONE
IRA (EXCLUSIVE MOBILIZAÇÃO E DESMOBILIZAÇÃO). AF_02/2015</t>
  </si>
  <si>
    <t>FABRICAÇÃO, MONTAGEM E DESMONTAGEM DE FÔRMA PARA BLOCO DE COROAMENTO, EM MADEIRA SERRADA, E=25 MM, 4 UTILIZAÇÕES. AF_06/2017</t>
  </si>
  <si>
    <t>CONCRETO 6,5</t>
  </si>
  <si>
    <t>CORTE E DOBRA DE AÇO CA-60, DIÂMETRO DE 5,0 MM, UTILIZADO EM ESTRUTURA DIVERSAS, EXCETO LAJES. AF_12/2015</t>
  </si>
  <si>
    <t>C060.6</t>
  </si>
  <si>
    <t>FABRICAÇÃO E MONTAGEM DE ESCADA METÁLICA COMPOSTA DE  20 DEGRAUS, 1 PATAMAR COM DIMENSÕES DE 2,25 X 2,25M E 1 PATAMAR DE 2,25 X 2,80M, DEGRAUS E PATAMAR  EM CHAPA METÁLICA XADREZ  ANTI-DERRAPANTE, E=3/16" - 4,75MM, LARGURA DE 2,25M, ALTURA PISO A PISO 3,25M, COMPRIMENTO ENTRE 10 A 13M, PILARES, VIGAS  E MESO ESTRUTURA EM PERFIS METÁLICOS RIGIDOS.</t>
  </si>
  <si>
    <t xml:space="preserve">ADEQUAÇÃO ESCADA EXTERNA BLOCO B </t>
  </si>
  <si>
    <t>INSTALAÇÃO E FORNECIMENTO  DE DEGRAUS EM CHAPA METÁLICA GROSSSA, ANTI-DERRAPANTE, E = 1/4 " (6,30 MM). A ALTURA E LARGURA DOS DE GRAUS DEVERÁ ATENDER A FORMULA DE BLONDEL.</t>
  </si>
  <si>
    <t>C060.4</t>
  </si>
  <si>
    <t xml:space="preserve">INSTALAÇÃO E FORNECIMENTO  DE PATAMAR PARA ESCADA METÁLICA EM CHAPA METÁLICA GROSSSA, ANTI-DERRAPANTE, E =3/16" - 4,75MM . </t>
  </si>
  <si>
    <t>INSTALAÇÃO DE COMPLEMENTO DE CHAPA XADREZ PARA PISO NA ESCADA METÁLICA , E=3/16" - 4,75MM - PARA  GUIA DE BALIZAMENTO</t>
  </si>
  <si>
    <t>INSTALAÇÃO DE LADRILHO HIDRAULICO TÁTIIL DIRECIONAL OU ALERTA 25X25 COR AMARELA  (ÁREA EXTERNA)</t>
  </si>
  <si>
    <t>INSTALAÇÃO DE FAIXA DE SINALIZAÇÃO VISUAL FOTOLUMINESCENTE DE DEGRAUS COM COLA</t>
  </si>
  <si>
    <t>EXECUÇÃO  DE ESCADA PARA CRIAÇÃO DE  NOVA SAÍDA DE EMERGÊNCIA NO BLOCO B</t>
  </si>
  <si>
    <t xml:space="preserve"> FABRICAÇÃO, MONTAGEM E DESMONTAGEM DE FÔRMA PARA VIGA BALDRAME, EM MADEIRA SERRADA, E=25 MM, 4 UTILIZAÇÕES. AF_06/2017</t>
  </si>
  <si>
    <t xml:space="preserve">ESCADA CENTRAL BLOCO B </t>
  </si>
  <si>
    <t xml:space="preserve">ESCADA CENTRAL BLOCO A </t>
  </si>
  <si>
    <t>SANITÁRIO FEMININO TÉRREO BLOCO A</t>
  </si>
  <si>
    <t>ASSENTO SANITARIO DE PLASTICO, TIPO CONVENCIONAL</t>
  </si>
  <si>
    <t>SANITÁRIO MASCULINO TÉRREO BLOCO A</t>
  </si>
  <si>
    <t>SANITÁRIO FEMININO TÉRREO BLOCO B</t>
  </si>
  <si>
    <t>SANITÁRIO MASCULINO TÉRREO BLOCO B</t>
  </si>
  <si>
    <t>SANITÁRIO FEMININO SUPERIOR BLOCO A</t>
  </si>
  <si>
    <t>SANITÁRIO MASCULINO SUPERIOR BLOCO A</t>
  </si>
  <si>
    <t>SANITÁRIO FEMININO SUPERIOR BLOCO B</t>
  </si>
  <si>
    <t>SANITÁRIO MASCULINO SUPERIOR BLOCO B</t>
  </si>
  <si>
    <t>ADEQUAÇÕES TÉRREO BLOCO A</t>
  </si>
  <si>
    <t xml:space="preserve">PORTA CORTA-FOGO 110X210 CM, INCLUINDO MARÇANETA E FECHADURA - FORNECIMENTO E INSTALAÇÃO </t>
  </si>
  <si>
    <t>PINTURA DE PORTA CORTA FOGO 2 DEMAOS</t>
  </si>
  <si>
    <t>RECOLOCACAO DE FOLHAS DE PORTA DE PASSAGEM OU JANELA, CONSIDERANDO REAPROVEITAMENTO DO MATERIAL</t>
  </si>
  <si>
    <t>REMOÇÃO DE JANELAS, DE FORMA MANUAL, SEM REAPROVEITAMENTO. AF_12/2017</t>
  </si>
  <si>
    <t>ADEQUAÇÕES TÉRREO BLOCO B</t>
  </si>
  <si>
    <t xml:space="preserve">PORTA CORTA FOGO, 1,60 X 2,10, DE ABRIR, 02 FOLHA, EM CHAPA DE AÇO GALVANIZADO Nº24, BATENTE EM CHAPA Nº18, CLASSE 90, ISOLANTE EM MANTA CERÂMICA INCOMBUSTÍVEL E=5CM, DOBRADIÇAS TIPO HELICOIDAL EM AÇO 1010/1020, E FECHADURA REVERSÍVEL SEM CHAVE
</t>
  </si>
  <si>
    <t xml:space="preserve">PORTA CORTA-FOGO 100X210 CM,( vão luz de 90) INCLUINDO MARÇANETA E FECHADURA - FORNECIMENTO E INSTALAÇÃO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</si>
  <si>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</si>
  <si>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APLICAÇÃO E LIXAMENTO DE MASSA LÁTEX EM PAREDES, DUAS DEMÃOS. AF_06/2014</t>
  </si>
  <si>
    <t>DEMOLIÇÃO DE ALVENARIA DE BLOCO FURADO, DE FORMA MANUAL, SEM REAPROVEITAMENTO (PARA COLOCAR PORTA)</t>
  </si>
  <si>
    <t>ADEQUAÇÕES SUPERIOR BLOCO A</t>
  </si>
  <si>
    <t>REVESTIMENTO CERÂMICO PARA PAREDES INTERNAS COM PLACAS TIPO ESMALTADA EXTRA DE DIMENSÕES 25X35 CM APLICADAS EM AMBIENTES DE ÁREA MENOR QUE 5M² A MEIA ALTURA DAS PAREDES. AF_06/2014</t>
  </si>
  <si>
    <t xml:space="preserve">PORTA CORTA-FOGO 100X210 CM, INCLUINDO MARÇANETA E FECHADURA - FORNECIMENTO E INSTALAÇÃO </t>
  </si>
  <si>
    <t>PORTA-PRONTA DE MADEIRA, FOLHA PESADA OU SUPERPESADA, 90X210CM, FIXAÇÃO COM PREENCHIMENTO TOTAL DE ESPUMA EXPANSIVA - FORNECIMENTO E INSTALAÇÃO.
 AF_08/201</t>
  </si>
  <si>
    <t>CHAPISCO APLICADO EM ALVENARIAS E ESTRUTURAS DE CONCRETO INTERNAS,COMCOLHER DE PEDREIRO. ARGAMASSA TRAÇO 1:3 COM PREPARO EM BETONEIRA 400L. AF_06/2014</t>
  </si>
  <si>
    <t>73863/001</t>
  </si>
  <si>
    <t xml:space="preserve"> ALVENARIA COM BLOCOS DE CONCRETO CELULAR 10X30X60CM, ESPESSURA 10CM, ASSENTADOS COM ARGAMASSA TRACO 1:2:9 (CIMENTO, CAL E AREIA) PREPARO MANUAL</t>
  </si>
  <si>
    <t>PISO EM GRANILITE, MARMORITE OU GRANITINA ESPESSURA 8 MM, INCLUSO JUNTAS DE DILATACAO PLASTICAS</t>
  </si>
  <si>
    <t>ARMAÇÃO DE PILAR OU VIGA DE UMA ESTRUTURA CONVENCIONAL DE CONCRETO ARMADO EM UMA EDIFICAÇÃO TÉRREA OU SOBRADO UTILIZANDO AÇO CA-50 DE 10,0 MM - MONTAGEM. AF_12/2015</t>
  </si>
  <si>
    <t>ADEQUAÇÕES SUPERIOR BLOCO B</t>
  </si>
  <si>
    <t>REMOÇÃO DE PORTAS, DE FORMA MANUAL, COM REAPROVEITAMENTO</t>
  </si>
  <si>
    <t>FUNDAÇÃO PARA ESCADA COM ESTACAS DE 6 METROS, 30CM DE DIAMETROS E BLOCOS 0,52x0,52x0,55 - BLOCO B</t>
  </si>
  <si>
    <t>ADEQUAÇÕES RAMPA CENTRAL</t>
  </si>
  <si>
    <t>PINTURA ESMALTE ALTO BRILHO, DUAS DEMÃOS, SOBRE SUPERFICIE METALICA PARA CORRIMÃO E GUARDA-CORPO</t>
  </si>
  <si>
    <t>VALOR  SALAS DE AULAS.....................................................:</t>
  </si>
  <si>
    <t>VALOR TOTAL DO SALAS DE AULAS...................................................:</t>
  </si>
  <si>
    <t>VALOR TOTAL GERAL DA OBRA.........................................:</t>
  </si>
  <si>
    <t xml:space="preserve">                                                                   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</si>
</sst>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(* #,##0.00_);_(* \(#,##0.00\);_(* \-??_);_(@_)"/>
    <numFmt numFmtId="165" formatCode="_(* #,##0.0000_);_(* \(#,##0.0000\);_(* \-??_);_(@_)"/>
    <numFmt numFmtId="166" formatCode="0.000"/>
    <numFmt numFmtId="167" formatCode="_-* #,##0.00_-;\-* #,##0.00_-;_-* \-??_-;_-@"/>
    <numFmt numFmtId="168" formatCode="General&quot; m²&quot;"/>
    <numFmt numFmtId="169" formatCode="_-&quot;R$ &quot;* #,##0.00_-;&quot;-R$ &quot;* #,##0.00_-;_-&quot;R$ &quot;* \-??_-;_-@"/>
    <numFmt numFmtId="170" formatCode="#,##0.00\ ;&quot; (&quot;#,##0.00\);&quot; -&quot;#\ ;@\ "/>
    <numFmt numFmtId="171" formatCode="_(&quot;R$ &quot;* #,##0.00_);_(&quot;R$ &quot;* \(#,##0.00\);_(&quot;R$ &quot;* \-??_);_(@_)"/>
    <numFmt numFmtId="172" formatCode="0.0%"/>
    <numFmt numFmtId="173" formatCode="[$R$]#,##0.00"/>
    <numFmt numFmtId="174" formatCode="_-* #,##0.000_-;\-* #,##0.000_-;_-* \-??.0_-;_-@"/>
    <numFmt numFmtId="175" formatCode="#,##0.0000"/>
    <numFmt numFmtId="176" formatCode="0.0000"/>
    <numFmt numFmtId="177" formatCode="#,##0.0"/>
    <numFmt numFmtId="178" formatCode="0.0"/>
    <numFmt numFmtId="179" formatCode="#,##0.000"/>
    <numFmt numFmtId="180" formatCode="&quot;R$&quot;#,##0.00"/>
    <numFmt numFmtId="181" formatCode="_-* #,##0.00_-;\-* #,##0.00_-;_-* &quot;-&quot;??_-;_-@"/>
  </numFmts>
  <fonts count="48">
    <font>
      <sz val="11"/>
      <color rgb="FF000000"/>
      <name val="Calibri"/>
    </font>
    <font>
      <sz val="9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b/>
      <sz val="18"/>
      <color theme="1"/>
      <name val="Arial"/>
    </font>
    <font>
      <sz val="22"/>
      <color theme="1"/>
      <name val="Arial"/>
    </font>
    <font>
      <sz val="22"/>
      <color theme="1"/>
      <name val="Times New Roman"/>
    </font>
    <font>
      <b/>
      <sz val="18"/>
      <color rgb="FF000000"/>
      <name val="Arial"/>
    </font>
    <font>
      <b/>
      <sz val="22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sz val="14"/>
      <color rgb="FF1E4E79"/>
      <name val="Arial"/>
    </font>
    <font>
      <sz val="8"/>
      <color rgb="FF000000"/>
      <name val="Verdana"/>
    </font>
    <font>
      <b/>
      <sz val="11"/>
      <color rgb="FF000000"/>
      <name val="Calibri"/>
    </font>
    <font>
      <sz val="10"/>
      <color rgb="FF00CCFF"/>
      <name val="Arial"/>
    </font>
    <font>
      <sz val="11"/>
      <color theme="1"/>
      <name val="Calibri"/>
    </font>
    <font>
      <sz val="15"/>
      <color rgb="FF000000"/>
      <name val="Verdana"/>
    </font>
    <font>
      <sz val="8"/>
      <color theme="1"/>
      <name val="Arial"/>
    </font>
    <font>
      <sz val="8"/>
      <color rgb="FFFF0000"/>
      <name val="Arial"/>
    </font>
    <font>
      <sz val="12"/>
      <color theme="1"/>
      <name val="Arial"/>
    </font>
    <font>
      <b/>
      <sz val="8"/>
      <color theme="1"/>
      <name val="Verdana"/>
    </font>
    <font>
      <b/>
      <sz val="8"/>
      <color rgb="FF000000"/>
      <name val="Verdana"/>
    </font>
    <font>
      <sz val="8"/>
      <color theme="1"/>
      <name val="Verdana"/>
    </font>
    <font>
      <sz val="8"/>
      <color rgb="FFFF0000"/>
      <name val="Verdana"/>
    </font>
    <font>
      <sz val="10"/>
      <color rgb="FF000000"/>
      <name val="Verdana"/>
    </font>
    <font>
      <b/>
      <sz val="11"/>
      <color theme="1"/>
      <name val="Calibri"/>
    </font>
    <font>
      <sz val="10"/>
      <color rgb="FF333333"/>
      <name val="Arial"/>
    </font>
    <font>
      <b/>
      <sz val="10"/>
      <color theme="1"/>
      <name val="Arial"/>
    </font>
    <font>
      <sz val="11"/>
      <color rgb="FF333333"/>
      <name val="Calibri"/>
    </font>
    <font>
      <b/>
      <sz val="10"/>
      <color theme="1"/>
      <name val="Verdana"/>
    </font>
    <font>
      <sz val="11"/>
      <color rgb="FF000000"/>
      <name val="Inconsolata"/>
    </font>
    <font>
      <sz val="9"/>
      <color theme="1"/>
      <name val="Arial"/>
    </font>
    <font>
      <sz val="14"/>
      <color rgb="FF000000"/>
      <name val="Arial"/>
    </font>
    <font>
      <sz val="11"/>
      <color theme="1"/>
      <name val="Arial"/>
    </font>
    <font>
      <sz val="11"/>
      <color rgb="FF333333"/>
      <name val="Arial"/>
    </font>
    <font>
      <sz val="10"/>
      <color rgb="FF4A86E8"/>
      <name val="Arial"/>
    </font>
    <font>
      <sz val="10"/>
      <color rgb="FFFF0000"/>
      <name val="Arial"/>
    </font>
    <font>
      <sz val="11"/>
      <color rgb="FF000000"/>
      <name val="Roboto"/>
    </font>
    <font>
      <b/>
      <sz val="11"/>
      <color theme="1"/>
      <name val="Arial"/>
    </font>
    <font>
      <b/>
      <sz val="10"/>
      <name val="Arial"/>
      <family val="2"/>
    </font>
    <font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F00FF"/>
        <bgColor rgb="FFFF00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theme="7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43" fontId="47" fillId="0" borderId="0" applyFont="0" applyFill="0" applyBorder="0" applyAlignment="0" applyProtection="0"/>
  </cellStyleXfs>
  <cellXfs count="76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1" xfId="0" applyFont="1" applyBorder="1"/>
    <xf numFmtId="0" fontId="3" fillId="0" borderId="2" xfId="0" applyFont="1" applyBorder="1"/>
    <xf numFmtId="164" fontId="7" fillId="0" borderId="0" xfId="0" applyNumberFormat="1" applyFont="1" applyAlignment="1">
      <alignment horizontal="lef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9" fillId="0" borderId="12" xfId="0" applyFont="1" applyBorder="1" applyAlignment="1">
      <alignment vertical="center" wrapText="1"/>
    </xf>
    <xf numFmtId="0" fontId="2" fillId="0" borderId="4" xfId="0" applyFont="1" applyBorder="1"/>
    <xf numFmtId="0" fontId="7" fillId="0" borderId="13" xfId="0" applyFont="1" applyBorder="1" applyAlignment="1">
      <alignment horizontal="center" vertical="center" wrapText="1"/>
    </xf>
    <xf numFmtId="0" fontId="2" fillId="0" borderId="5" xfId="0" applyFont="1" applyBorder="1"/>
    <xf numFmtId="0" fontId="7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2" fillId="0" borderId="0" xfId="0" applyFont="1"/>
    <xf numFmtId="0" fontId="3" fillId="0" borderId="0" xfId="0" applyFont="1" applyAlignment="1">
      <alignment vertical="center" wrapText="1"/>
    </xf>
    <xf numFmtId="0" fontId="12" fillId="0" borderId="4" xfId="0" applyFont="1" applyBorder="1"/>
    <xf numFmtId="0" fontId="13" fillId="0" borderId="0" xfId="0" applyFont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165" fontId="3" fillId="2" borderId="17" xfId="0" applyNumberFormat="1" applyFont="1" applyFill="1" applyBorder="1"/>
    <xf numFmtId="165" fontId="3" fillId="2" borderId="18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/>
    <xf numFmtId="164" fontId="3" fillId="0" borderId="18" xfId="0" applyNumberFormat="1" applyFont="1" applyBorder="1" applyAlignment="1">
      <alignment horizontal="left"/>
    </xf>
    <xf numFmtId="0" fontId="12" fillId="0" borderId="5" xfId="0" applyFont="1" applyBorder="1"/>
    <xf numFmtId="164" fontId="2" fillId="0" borderId="0" xfId="0" applyNumberFormat="1" applyFont="1" applyAlignment="1">
      <alignment vertical="center"/>
    </xf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3" fillId="0" borderId="17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164" fontId="3" fillId="2" borderId="17" xfId="0" applyNumberFormat="1" applyFont="1" applyFill="1" applyBorder="1"/>
    <xf numFmtId="164" fontId="3" fillId="2" borderId="18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7" fillId="2" borderId="20" xfId="0" applyNumberFormat="1" applyFont="1" applyFill="1" applyBorder="1"/>
    <xf numFmtId="0" fontId="2" fillId="0" borderId="11" xfId="0" applyFont="1" applyBorder="1"/>
    <xf numFmtId="164" fontId="7" fillId="2" borderId="21" xfId="0" applyNumberFormat="1" applyFont="1" applyFill="1" applyBorder="1" applyAlignment="1">
      <alignment horizontal="left"/>
    </xf>
    <xf numFmtId="0" fontId="7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1" fillId="0" borderId="4" xfId="0" applyFont="1" applyBorder="1"/>
    <xf numFmtId="164" fontId="7" fillId="0" borderId="0" xfId="0" applyNumberFormat="1" applyFont="1"/>
    <xf numFmtId="0" fontId="1" fillId="0" borderId="9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vertical="top" wrapText="1"/>
    </xf>
    <xf numFmtId="2" fontId="3" fillId="0" borderId="23" xfId="0" applyNumberFormat="1" applyFont="1" applyBorder="1" applyAlignment="1">
      <alignment horizontal="right" vertical="top"/>
    </xf>
    <xf numFmtId="2" fontId="7" fillId="5" borderId="23" xfId="0" applyNumberFormat="1" applyFont="1" applyFill="1" applyBorder="1" applyAlignment="1">
      <alignment horizontal="right" vertical="top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2" fontId="2" fillId="0" borderId="23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left" vertic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wrapText="1"/>
    </xf>
    <xf numFmtId="2" fontId="10" fillId="3" borderId="24" xfId="0" applyNumberFormat="1" applyFont="1" applyFill="1" applyBorder="1" applyAlignment="1">
      <alignment horizontal="right" wrapText="1"/>
    </xf>
    <xf numFmtId="2" fontId="10" fillId="3" borderId="24" xfId="0" applyNumberFormat="1" applyFont="1" applyFill="1" applyBorder="1" applyAlignment="1">
      <alignment horizontal="right"/>
    </xf>
    <xf numFmtId="0" fontId="3" fillId="5" borderId="23" xfId="0" applyFont="1" applyFill="1" applyBorder="1" applyAlignment="1">
      <alignment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vertical="center" wrapText="1"/>
    </xf>
    <xf numFmtId="2" fontId="3" fillId="6" borderId="23" xfId="0" applyNumberFormat="1" applyFont="1" applyFill="1" applyBorder="1" applyAlignment="1">
      <alignment vertical="center" wrapText="1"/>
    </xf>
    <xf numFmtId="2" fontId="7" fillId="6" borderId="23" xfId="0" applyNumberFormat="1" applyFont="1" applyFill="1" applyBorder="1" applyAlignment="1">
      <alignment horizontal="right" vertical="center" wrapText="1"/>
    </xf>
    <xf numFmtId="2" fontId="3" fillId="3" borderId="22" xfId="0" applyNumberFormat="1" applyFont="1" applyFill="1" applyBorder="1" applyAlignment="1">
      <alignment vertical="center" wrapText="1"/>
    </xf>
    <xf numFmtId="166" fontId="7" fillId="6" borderId="23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2" fontId="3" fillId="0" borderId="23" xfId="0" applyNumberFormat="1" applyFont="1" applyBorder="1" applyAlignment="1">
      <alignment horizontal="right" vertical="center" wrapText="1"/>
    </xf>
    <xf numFmtId="0" fontId="3" fillId="8" borderId="23" xfId="0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2" fontId="7" fillId="5" borderId="23" xfId="0" applyNumberFormat="1" applyFont="1" applyFill="1" applyBorder="1" applyAlignment="1">
      <alignment horizontal="right" vertical="center" wrapText="1"/>
    </xf>
    <xf numFmtId="0" fontId="3" fillId="8" borderId="23" xfId="0" applyFont="1" applyFill="1" applyBorder="1" applyAlignment="1">
      <alignment horizontal="left" vertical="center"/>
    </xf>
    <xf numFmtId="2" fontId="3" fillId="8" borderId="23" xfId="0" applyNumberFormat="1" applyFont="1" applyFill="1" applyBorder="1" applyAlignment="1">
      <alignment horizontal="right" vertical="center"/>
    </xf>
    <xf numFmtId="2" fontId="7" fillId="5" borderId="23" xfId="0" applyNumberFormat="1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top"/>
    </xf>
    <xf numFmtId="0" fontId="3" fillId="3" borderId="23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 wrapText="1"/>
    </xf>
    <xf numFmtId="2" fontId="3" fillId="3" borderId="23" xfId="0" applyNumberFormat="1" applyFont="1" applyFill="1" applyBorder="1" applyAlignment="1">
      <alignment vertical="center" wrapText="1"/>
    </xf>
    <xf numFmtId="2" fontId="3" fillId="3" borderId="2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right" vertical="center"/>
    </xf>
    <xf numFmtId="167" fontId="0" fillId="0" borderId="23" xfId="0" applyNumberFormat="1" applyFont="1" applyBorder="1" applyAlignment="1">
      <alignment horizontal="right" vertical="center"/>
    </xf>
    <xf numFmtId="2" fontId="3" fillId="3" borderId="23" xfId="0" applyNumberFormat="1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167" fontId="0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2" fontId="7" fillId="0" borderId="2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9" borderId="23" xfId="0" applyFont="1" applyFill="1" applyBorder="1" applyAlignment="1">
      <alignment vertical="top"/>
    </xf>
    <xf numFmtId="0" fontId="3" fillId="9" borderId="23" xfId="0" applyFont="1" applyFill="1" applyBorder="1" applyAlignment="1">
      <alignment horizontal="left" vertical="top"/>
    </xf>
    <xf numFmtId="0" fontId="3" fillId="9" borderId="23" xfId="0" applyFont="1" applyFill="1" applyBorder="1" applyAlignment="1">
      <alignment horizontal="center" vertical="top"/>
    </xf>
    <xf numFmtId="0" fontId="7" fillId="9" borderId="23" xfId="0" applyFont="1" applyFill="1" applyBorder="1" applyAlignment="1">
      <alignment vertical="top" wrapText="1"/>
    </xf>
    <xf numFmtId="2" fontId="7" fillId="9" borderId="23" xfId="0" applyNumberFormat="1" applyFont="1" applyFill="1" applyBorder="1" applyAlignment="1">
      <alignment horizontal="right" vertical="top"/>
    </xf>
    <xf numFmtId="0" fontId="3" fillId="3" borderId="22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left" wrapText="1"/>
    </xf>
    <xf numFmtId="167" fontId="0" fillId="3" borderId="23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2" fontId="3" fillId="3" borderId="22" xfId="0" applyNumberFormat="1" applyFont="1" applyFill="1" applyBorder="1" applyAlignment="1">
      <alignment horizontal="right" wrapText="1"/>
    </xf>
    <xf numFmtId="167" fontId="20" fillId="0" borderId="23" xfId="0" applyNumberFormat="1" applyFont="1" applyBorder="1" applyAlignment="1">
      <alignment horizontal="right" vertical="center"/>
    </xf>
    <xf numFmtId="2" fontId="21" fillId="3" borderId="22" xfId="0" applyNumberFormat="1" applyFont="1" applyFill="1" applyBorder="1" applyAlignment="1">
      <alignment horizontal="right"/>
    </xf>
    <xf numFmtId="2" fontId="3" fillId="3" borderId="22" xfId="0" applyNumberFormat="1" applyFont="1" applyFill="1" applyBorder="1" applyAlignment="1">
      <alignment horizontal="right"/>
    </xf>
    <xf numFmtId="2" fontId="3" fillId="3" borderId="23" xfId="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center" vertical="top"/>
    </xf>
    <xf numFmtId="0" fontId="3" fillId="8" borderId="23" xfId="0" applyFont="1" applyFill="1" applyBorder="1" applyAlignment="1">
      <alignment vertical="center"/>
    </xf>
    <xf numFmtId="2" fontId="7" fillId="8" borderId="23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wrapText="1"/>
    </xf>
    <xf numFmtId="0" fontId="3" fillId="3" borderId="22" xfId="0" applyFont="1" applyFill="1" applyBorder="1" applyAlignment="1">
      <alignment vertical="top" wrapText="1"/>
    </xf>
    <xf numFmtId="2" fontId="3" fillId="3" borderId="22" xfId="0" applyNumberFormat="1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left"/>
    </xf>
    <xf numFmtId="2" fontId="3" fillId="3" borderId="22" xfId="0" applyNumberFormat="1" applyFont="1" applyFill="1" applyBorder="1" applyAlignment="1">
      <alignment horizontal="right" vertical="center" wrapText="1"/>
    </xf>
    <xf numFmtId="0" fontId="10" fillId="3" borderId="22" xfId="0" applyFont="1" applyFill="1" applyBorder="1" applyAlignment="1">
      <alignment horizontal="left" wrapText="1"/>
    </xf>
    <xf numFmtId="2" fontId="3" fillId="3" borderId="23" xfId="0" applyNumberFormat="1" applyFont="1" applyFill="1" applyBorder="1" applyAlignment="1">
      <alignment vertical="center"/>
    </xf>
    <xf numFmtId="4" fontId="3" fillId="3" borderId="23" xfId="0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wrapText="1"/>
    </xf>
    <xf numFmtId="2" fontId="3" fillId="3" borderId="22" xfId="0" applyNumberFormat="1" applyFont="1" applyFill="1" applyBorder="1" applyAlignment="1">
      <alignment horizontal="right" vertical="top"/>
    </xf>
    <xf numFmtId="4" fontId="3" fillId="8" borderId="23" xfId="0" applyNumberFormat="1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2" fontId="7" fillId="5" borderId="38" xfId="0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vertical="center" wrapText="1"/>
    </xf>
    <xf numFmtId="2" fontId="3" fillId="0" borderId="39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22" fillId="0" borderId="23" xfId="0" applyNumberFormat="1" applyFont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10" fillId="3" borderId="23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/>
    <xf numFmtId="164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center"/>
    </xf>
    <xf numFmtId="10" fontId="25" fillId="0" borderId="2" xfId="0" applyNumberFormat="1" applyFont="1" applyBorder="1"/>
    <xf numFmtId="10" fontId="25" fillId="0" borderId="3" xfId="0" applyNumberFormat="1" applyFont="1" applyBorder="1"/>
    <xf numFmtId="0" fontId="24" fillId="0" borderId="0" xfId="0" applyFont="1"/>
    <xf numFmtId="0" fontId="24" fillId="0" borderId="4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10" fontId="25" fillId="0" borderId="0" xfId="0" applyNumberFormat="1" applyFont="1"/>
    <xf numFmtId="10" fontId="25" fillId="0" borderId="10" xfId="0" applyNumberFormat="1" applyFont="1" applyBorder="1"/>
    <xf numFmtId="10" fontId="25" fillId="0" borderId="5" xfId="0" applyNumberFormat="1" applyFont="1" applyBorder="1"/>
    <xf numFmtId="0" fontId="3" fillId="8" borderId="40" xfId="0" applyFont="1" applyFill="1" applyBorder="1" applyAlignment="1">
      <alignment horizontal="center" vertical="center"/>
    </xf>
    <xf numFmtId="0" fontId="26" fillId="0" borderId="0" xfId="0" applyFont="1"/>
    <xf numFmtId="0" fontId="3" fillId="0" borderId="41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2" fontId="3" fillId="0" borderId="41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2" fontId="8" fillId="0" borderId="2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8" fontId="7" fillId="0" borderId="6" xfId="0" applyNumberFormat="1" applyFont="1" applyBorder="1" applyAlignment="1">
      <alignment horizontal="left" vertical="center"/>
    </xf>
    <xf numFmtId="168" fontId="7" fillId="0" borderId="1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68" fontId="7" fillId="0" borderId="2" xfId="0" applyNumberFormat="1" applyFont="1" applyBorder="1" applyAlignment="1">
      <alignment vertical="center"/>
    </xf>
    <xf numFmtId="0" fontId="2" fillId="0" borderId="8" xfId="0" applyFont="1" applyBorder="1"/>
    <xf numFmtId="4" fontId="3" fillId="3" borderId="23" xfId="0" applyNumberFormat="1" applyFont="1" applyFill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2" fontId="7" fillId="5" borderId="43" xfId="0" applyNumberFormat="1" applyFont="1" applyFill="1" applyBorder="1" applyAlignment="1">
      <alignment horizontal="right" vertical="center"/>
    </xf>
    <xf numFmtId="172" fontId="30" fillId="0" borderId="46" xfId="0" applyNumberFormat="1" applyFont="1" applyBorder="1" applyAlignment="1">
      <alignment horizontal="right"/>
    </xf>
    <xf numFmtId="167" fontId="2" fillId="0" borderId="0" xfId="0" applyNumberFormat="1" applyFont="1"/>
    <xf numFmtId="169" fontId="2" fillId="0" borderId="0" xfId="0" applyNumberFormat="1" applyFont="1"/>
    <xf numFmtId="164" fontId="29" fillId="0" borderId="50" xfId="0" applyNumberFormat="1" applyFont="1" applyBorder="1" applyAlignment="1">
      <alignment horizontal="right"/>
    </xf>
    <xf numFmtId="3" fontId="3" fillId="0" borderId="0" xfId="0" applyNumberFormat="1" applyFont="1"/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/>
    </xf>
    <xf numFmtId="4" fontId="2" fillId="3" borderId="23" xfId="0" applyNumberFormat="1" applyFont="1" applyFill="1" applyBorder="1" applyAlignment="1">
      <alignment vertical="center"/>
    </xf>
    <xf numFmtId="172" fontId="30" fillId="8" borderId="46" xfId="0" applyNumberFormat="1" applyFont="1" applyFill="1" applyBorder="1" applyAlignment="1">
      <alignment horizontal="right"/>
    </xf>
    <xf numFmtId="0" fontId="7" fillId="5" borderId="23" xfId="0" applyFont="1" applyFill="1" applyBorder="1" applyAlignment="1">
      <alignment horizontal="right" wrapText="1"/>
    </xf>
    <xf numFmtId="164" fontId="29" fillId="8" borderId="50" xfId="0" applyNumberFormat="1" applyFont="1" applyFill="1" applyBorder="1" applyAlignment="1">
      <alignment horizontal="right"/>
    </xf>
    <xf numFmtId="0" fontId="29" fillId="10" borderId="51" xfId="0" applyFont="1" applyFill="1" applyBorder="1" applyAlignment="1">
      <alignment horizontal="center" vertical="center"/>
    </xf>
    <xf numFmtId="171" fontId="27" fillId="10" borderId="52" xfId="0" applyNumberFormat="1" applyFont="1" applyFill="1" applyBorder="1" applyAlignment="1">
      <alignment horizontal="left" vertical="center" wrapText="1"/>
    </xf>
    <xf numFmtId="10" fontId="29" fillId="10" borderId="52" xfId="0" applyNumberFormat="1" applyFont="1" applyFill="1" applyBorder="1" applyAlignment="1">
      <alignment horizontal="center" vertical="center"/>
    </xf>
    <xf numFmtId="169" fontId="19" fillId="10" borderId="53" xfId="0" applyNumberFormat="1" applyFont="1" applyFill="1" applyBorder="1" applyAlignment="1">
      <alignment horizontal="center" vertical="center"/>
    </xf>
    <xf numFmtId="172" fontId="30" fillId="10" borderId="54" xfId="0" applyNumberFormat="1" applyFont="1" applyFill="1" applyBorder="1" applyAlignment="1">
      <alignment horizontal="right"/>
    </xf>
    <xf numFmtId="0" fontId="31" fillId="11" borderId="23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vertical="center" wrapText="1"/>
    </xf>
    <xf numFmtId="2" fontId="3" fillId="11" borderId="23" xfId="0" applyNumberFormat="1" applyFont="1" applyFill="1" applyBorder="1" applyAlignment="1">
      <alignment horizontal="right" vertical="center"/>
    </xf>
    <xf numFmtId="0" fontId="31" fillId="0" borderId="2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2" fontId="3" fillId="8" borderId="40" xfId="0" applyNumberFormat="1" applyFont="1" applyFill="1" applyBorder="1" applyAlignment="1">
      <alignment vertical="center" wrapText="1"/>
    </xf>
    <xf numFmtId="2" fontId="3" fillId="0" borderId="41" xfId="0" applyNumberFormat="1" applyFont="1" applyBorder="1" applyAlignment="1">
      <alignment horizontal="right" vertical="center"/>
    </xf>
    <xf numFmtId="2" fontId="3" fillId="8" borderId="23" xfId="0" applyNumberFormat="1" applyFont="1" applyFill="1" applyBorder="1" applyAlignment="1">
      <alignment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vertical="center" wrapText="1"/>
    </xf>
    <xf numFmtId="2" fontId="3" fillId="0" borderId="23" xfId="0" applyNumberFormat="1" applyFont="1" applyBorder="1" applyAlignment="1">
      <alignment horizontal="left" vertical="center"/>
    </xf>
    <xf numFmtId="0" fontId="3" fillId="8" borderId="23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left" wrapText="1"/>
    </xf>
    <xf numFmtId="0" fontId="10" fillId="3" borderId="23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 wrapText="1"/>
    </xf>
    <xf numFmtId="2" fontId="7" fillId="5" borderId="43" xfId="0" applyNumberFormat="1" applyFont="1" applyFill="1" applyBorder="1" applyAlignment="1">
      <alignment horizontal="right" vertical="top"/>
    </xf>
    <xf numFmtId="4" fontId="22" fillId="0" borderId="23" xfId="0" applyNumberFormat="1" applyFont="1" applyBorder="1" applyAlignment="1">
      <alignment vertical="center"/>
    </xf>
    <xf numFmtId="167" fontId="19" fillId="3" borderId="2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9" fillId="3" borderId="22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right"/>
    </xf>
    <xf numFmtId="169" fontId="19" fillId="10" borderId="59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left" vertical="center"/>
    </xf>
    <xf numFmtId="167" fontId="0" fillId="0" borderId="23" xfId="0" applyNumberFormat="1" applyFont="1" applyBorder="1" applyAlignment="1">
      <alignment vertical="center"/>
    </xf>
    <xf numFmtId="2" fontId="7" fillId="3" borderId="23" xfId="0" applyNumberFormat="1" applyFont="1" applyFill="1" applyBorder="1" applyAlignment="1">
      <alignment horizontal="right" vertical="center"/>
    </xf>
    <xf numFmtId="173" fontId="7" fillId="5" borderId="43" xfId="0" applyNumberFormat="1" applyFont="1" applyFill="1" applyBorder="1" applyAlignment="1">
      <alignment horizontal="right" vertical="top"/>
    </xf>
    <xf numFmtId="0" fontId="22" fillId="3" borderId="22" xfId="0" applyFont="1" applyFill="1" applyBorder="1"/>
    <xf numFmtId="2" fontId="7" fillId="9" borderId="23" xfId="0" applyNumberFormat="1" applyFont="1" applyFill="1" applyBorder="1" applyAlignment="1">
      <alignment horizontal="right" vertical="center"/>
    </xf>
    <xf numFmtId="0" fontId="3" fillId="8" borderId="60" xfId="0" applyFont="1" applyFill="1" applyBorder="1" applyAlignment="1">
      <alignment vertical="center" wrapText="1"/>
    </xf>
    <xf numFmtId="166" fontId="32" fillId="0" borderId="0" xfId="0" applyNumberFormat="1" applyFont="1" applyAlignment="1">
      <alignment horizontal="center" vertical="center"/>
    </xf>
    <xf numFmtId="4" fontId="0" fillId="3" borderId="23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9" xfId="0" applyFont="1" applyBorder="1" applyAlignment="1">
      <alignment vertical="center" wrapText="1"/>
    </xf>
    <xf numFmtId="2" fontId="3" fillId="8" borderId="40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vertical="center"/>
    </xf>
    <xf numFmtId="167" fontId="0" fillId="8" borderId="23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8" borderId="59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vertical="center"/>
    </xf>
    <xf numFmtId="4" fontId="3" fillId="3" borderId="23" xfId="0" applyNumberFormat="1" applyFont="1" applyFill="1" applyBorder="1" applyAlignment="1">
      <alignment vertical="center"/>
    </xf>
    <xf numFmtId="167" fontId="3" fillId="0" borderId="23" xfId="0" applyNumberFormat="1" applyFont="1" applyBorder="1" applyAlignment="1">
      <alignment horizontal="right" vertical="center"/>
    </xf>
    <xf numFmtId="0" fontId="33" fillId="3" borderId="23" xfId="0" applyFont="1" applyFill="1" applyBorder="1" applyAlignment="1">
      <alignment vertical="center"/>
    </xf>
    <xf numFmtId="167" fontId="3" fillId="3" borderId="23" xfId="0" applyNumberFormat="1" applyFont="1" applyFill="1" applyBorder="1" applyAlignment="1">
      <alignment horizontal="right" vertical="center"/>
    </xf>
    <xf numFmtId="0" fontId="7" fillId="4" borderId="62" xfId="0" applyFont="1" applyFill="1" applyBorder="1" applyAlignment="1">
      <alignment vertical="top"/>
    </xf>
    <xf numFmtId="2" fontId="7" fillId="0" borderId="23" xfId="0" applyNumberFormat="1" applyFont="1" applyBorder="1" applyAlignment="1">
      <alignment vertical="center"/>
    </xf>
    <xf numFmtId="2" fontId="34" fillId="0" borderId="23" xfId="0" applyNumberFormat="1" applyFont="1" applyBorder="1" applyAlignment="1">
      <alignment vertical="center"/>
    </xf>
    <xf numFmtId="2" fontId="7" fillId="0" borderId="2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/>
    </xf>
    <xf numFmtId="0" fontId="22" fillId="0" borderId="0" xfId="0" applyFont="1"/>
    <xf numFmtId="0" fontId="3" fillId="3" borderId="23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67" fontId="3" fillId="8" borderId="23" xfId="0" applyNumberFormat="1" applyFont="1" applyFill="1" applyBorder="1" applyAlignment="1">
      <alignment horizontal="right" vertical="center"/>
    </xf>
    <xf numFmtId="2" fontId="22" fillId="3" borderId="22" xfId="0" applyNumberFormat="1" applyFont="1" applyFill="1" applyBorder="1"/>
    <xf numFmtId="0" fontId="0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166" fontId="3" fillId="0" borderId="23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center" vertical="center"/>
    </xf>
    <xf numFmtId="0" fontId="3" fillId="8" borderId="66" xfId="0" applyFont="1" applyFill="1" applyBorder="1" applyAlignment="1">
      <alignment vertical="center" wrapText="1"/>
    </xf>
    <xf numFmtId="0" fontId="2" fillId="3" borderId="22" xfId="0" applyFont="1" applyFill="1" applyBorder="1"/>
    <xf numFmtId="2" fontId="3" fillId="0" borderId="17" xfId="0" applyNumberFormat="1" applyFont="1" applyBorder="1" applyAlignment="1">
      <alignment horizontal="right" vertical="top"/>
    </xf>
    <xf numFmtId="9" fontId="36" fillId="0" borderId="56" xfId="0" applyNumberFormat="1" applyFont="1" applyBorder="1" applyAlignment="1">
      <alignment horizontal="center" vertical="center" wrapText="1"/>
    </xf>
    <xf numFmtId="0" fontId="37" fillId="3" borderId="22" xfId="0" applyFont="1" applyFill="1" applyBorder="1"/>
    <xf numFmtId="169" fontId="28" fillId="0" borderId="69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wrapText="1"/>
    </xf>
    <xf numFmtId="173" fontId="36" fillId="0" borderId="70" xfId="0" applyNumberFormat="1" applyFont="1" applyBorder="1" applyAlignment="1">
      <alignment vertical="center" wrapText="1"/>
    </xf>
    <xf numFmtId="0" fontId="2" fillId="2" borderId="22" xfId="0" applyFont="1" applyFill="1" applyBorder="1"/>
    <xf numFmtId="0" fontId="3" fillId="3" borderId="4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 wrapText="1"/>
    </xf>
    <xf numFmtId="2" fontId="3" fillId="3" borderId="40" xfId="0" applyNumberFormat="1" applyFont="1" applyFill="1" applyBorder="1" applyAlignment="1">
      <alignment horizontal="right" vertical="center" wrapText="1"/>
    </xf>
    <xf numFmtId="0" fontId="29" fillId="0" borderId="17" xfId="0" applyFont="1" applyBorder="1" applyAlignment="1">
      <alignment vertical="center" wrapText="1"/>
    </xf>
    <xf numFmtId="4" fontId="28" fillId="0" borderId="28" xfId="0" applyNumberFormat="1" applyFont="1" applyBorder="1" applyAlignment="1">
      <alignment horizontal="left" vertical="center"/>
    </xf>
    <xf numFmtId="4" fontId="29" fillId="0" borderId="72" xfId="0" applyNumberFormat="1" applyFont="1" applyBorder="1" applyAlignment="1">
      <alignment vertical="center" wrapText="1"/>
    </xf>
    <xf numFmtId="4" fontId="29" fillId="2" borderId="73" xfId="0" applyNumberFormat="1" applyFont="1" applyFill="1" applyBorder="1" applyAlignment="1">
      <alignment vertical="center" wrapText="1"/>
    </xf>
    <xf numFmtId="0" fontId="28" fillId="0" borderId="28" xfId="0" applyFont="1" applyBorder="1" applyAlignment="1">
      <alignment horizontal="left" vertical="center"/>
    </xf>
    <xf numFmtId="10" fontId="30" fillId="0" borderId="72" xfId="0" applyNumberFormat="1" applyFont="1" applyBorder="1" applyAlignment="1">
      <alignment vertical="center" wrapText="1"/>
    </xf>
    <xf numFmtId="0" fontId="3" fillId="8" borderId="40" xfId="0" applyFont="1" applyFill="1" applyBorder="1" applyAlignment="1">
      <alignment horizontal="left" vertical="center"/>
    </xf>
    <xf numFmtId="0" fontId="29" fillId="0" borderId="20" xfId="0" applyFont="1" applyBorder="1" applyAlignment="1">
      <alignment vertical="center" wrapText="1"/>
    </xf>
    <xf numFmtId="0" fontId="28" fillId="0" borderId="76" xfId="0" applyFont="1" applyBorder="1" applyAlignment="1">
      <alignment horizontal="left" vertical="center"/>
    </xf>
    <xf numFmtId="10" fontId="30" fillId="0" borderId="50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3" borderId="22" xfId="0" applyFont="1" applyFill="1" applyBorder="1"/>
    <xf numFmtId="0" fontId="38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8" borderId="23" xfId="0" applyFont="1" applyFill="1" applyBorder="1" applyAlignment="1">
      <alignment horizontal="left" vertical="center" wrapText="1"/>
    </xf>
    <xf numFmtId="4" fontId="3" fillId="8" borderId="40" xfId="0" applyNumberFormat="1" applyFont="1" applyFill="1" applyBorder="1" applyAlignment="1">
      <alignment horizontal="left" vertical="center"/>
    </xf>
    <xf numFmtId="2" fontId="3" fillId="3" borderId="40" xfId="0" applyNumberFormat="1" applyFont="1" applyFill="1" applyBorder="1" applyAlignment="1">
      <alignment vertical="center" wrapText="1"/>
    </xf>
    <xf numFmtId="2" fontId="3" fillId="3" borderId="40" xfId="0" applyNumberFormat="1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167" fontId="3" fillId="0" borderId="23" xfId="0" applyNumberFormat="1" applyFont="1" applyBorder="1" applyAlignment="1">
      <alignment horizontal="center" vertical="center"/>
    </xf>
    <xf numFmtId="0" fontId="3" fillId="5" borderId="32" xfId="0" applyFont="1" applyFill="1" applyBorder="1" applyAlignment="1">
      <alignment horizontal="left" wrapText="1"/>
    </xf>
    <xf numFmtId="2" fontId="7" fillId="5" borderId="38" xfId="0" applyNumberFormat="1" applyFont="1" applyFill="1" applyBorder="1" applyAlignment="1">
      <alignment horizontal="right" vertical="top"/>
    </xf>
    <xf numFmtId="0" fontId="3" fillId="8" borderId="23" xfId="0" applyFont="1" applyFill="1" applyBorder="1" applyAlignment="1">
      <alignment horizontal="center" vertical="center" wrapText="1"/>
    </xf>
    <xf numFmtId="2" fontId="7" fillId="5" borderId="38" xfId="0" applyNumberFormat="1" applyFont="1" applyFill="1" applyBorder="1" applyAlignment="1">
      <alignment horizontal="right"/>
    </xf>
    <xf numFmtId="4" fontId="7" fillId="0" borderId="23" xfId="0" applyNumberFormat="1" applyFont="1" applyBorder="1" applyAlignment="1">
      <alignment vertical="center"/>
    </xf>
    <xf numFmtId="0" fontId="3" fillId="6" borderId="77" xfId="0" applyFont="1" applyFill="1" applyBorder="1" applyAlignment="1">
      <alignment horizontal="left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vertical="center" wrapText="1"/>
    </xf>
    <xf numFmtId="2" fontId="3" fillId="6" borderId="66" xfId="0" applyNumberFormat="1" applyFont="1" applyFill="1" applyBorder="1" applyAlignment="1">
      <alignment vertical="center" wrapText="1"/>
    </xf>
    <xf numFmtId="2" fontId="7" fillId="6" borderId="78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166" fontId="7" fillId="6" borderId="17" xfId="0" applyNumberFormat="1" applyFont="1" applyFill="1" applyBorder="1" applyAlignment="1">
      <alignment vertical="center" wrapText="1"/>
    </xf>
    <xf numFmtId="2" fontId="7" fillId="6" borderId="18" xfId="0" applyNumberFormat="1" applyFont="1" applyFill="1" applyBorder="1" applyAlignment="1">
      <alignment horizontal="right" vertical="center" wrapText="1"/>
    </xf>
    <xf numFmtId="2" fontId="3" fillId="6" borderId="17" xfId="0" applyNumberFormat="1" applyFont="1" applyFill="1" applyBorder="1" applyAlignment="1">
      <alignment vertical="center" wrapText="1"/>
    </xf>
    <xf numFmtId="0" fontId="3" fillId="0" borderId="30" xfId="0" applyFont="1" applyBorder="1" applyAlignment="1">
      <alignment wrapText="1"/>
    </xf>
    <xf numFmtId="0" fontId="39" fillId="3" borderId="22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4" fontId="3" fillId="8" borderId="23" xfId="0" applyNumberFormat="1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/>
    </xf>
    <xf numFmtId="0" fontId="2" fillId="8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vertical="top"/>
    </xf>
    <xf numFmtId="2" fontId="3" fillId="0" borderId="39" xfId="0" applyNumberFormat="1" applyFont="1" applyBorder="1" applyAlignment="1">
      <alignment vertical="center" wrapText="1"/>
    </xf>
    <xf numFmtId="0" fontId="3" fillId="3" borderId="23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center" vertical="top"/>
    </xf>
    <xf numFmtId="0" fontId="7" fillId="3" borderId="23" xfId="0" applyFont="1" applyFill="1" applyBorder="1" applyAlignment="1">
      <alignment vertical="top" wrapText="1"/>
    </xf>
    <xf numFmtId="2" fontId="7" fillId="3" borderId="23" xfId="0" applyNumberFormat="1" applyFont="1" applyFill="1" applyBorder="1" applyAlignment="1">
      <alignment horizontal="right" vertical="top"/>
    </xf>
    <xf numFmtId="0" fontId="3" fillId="3" borderId="6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 wrapText="1"/>
    </xf>
    <xf numFmtId="2" fontId="3" fillId="3" borderId="40" xfId="0" applyNumberFormat="1" applyFont="1" applyFill="1" applyBorder="1" applyAlignment="1">
      <alignment horizontal="right" vertical="center"/>
    </xf>
    <xf numFmtId="0" fontId="3" fillId="9" borderId="23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vertical="center" wrapText="1"/>
    </xf>
    <xf numFmtId="2" fontId="3" fillId="9" borderId="23" xfId="0" applyNumberFormat="1" applyFont="1" applyFill="1" applyBorder="1" applyAlignment="1">
      <alignment horizontal="center" vertical="center" wrapText="1"/>
    </xf>
    <xf numFmtId="2" fontId="3" fillId="9" borderId="23" xfId="0" applyNumberFormat="1" applyFont="1" applyFill="1" applyBorder="1" applyAlignment="1">
      <alignment vertical="center" wrapText="1"/>
    </xf>
    <xf numFmtId="0" fontId="3" fillId="8" borderId="6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167" fontId="3" fillId="0" borderId="23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2" fontId="3" fillId="8" borderId="81" xfId="0" applyNumberFormat="1" applyFont="1" applyFill="1" applyBorder="1" applyAlignment="1">
      <alignment horizontal="right" vertical="center"/>
    </xf>
    <xf numFmtId="2" fontId="3" fillId="8" borderId="81" xfId="0" applyNumberFormat="1" applyFont="1" applyFill="1" applyBorder="1" applyAlignment="1">
      <alignment vertical="center"/>
    </xf>
    <xf numFmtId="2" fontId="3" fillId="0" borderId="39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vertical="center" wrapText="1"/>
    </xf>
    <xf numFmtId="0" fontId="3" fillId="8" borderId="81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174" fontId="3" fillId="0" borderId="23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right" vertical="center"/>
    </xf>
    <xf numFmtId="0" fontId="3" fillId="9" borderId="23" xfId="0" applyFont="1" applyFill="1" applyBorder="1" applyAlignment="1">
      <alignment vertical="top" wrapText="1"/>
    </xf>
    <xf numFmtId="2" fontId="3" fillId="9" borderId="23" xfId="0" applyNumberFormat="1" applyFont="1" applyFill="1" applyBorder="1" applyAlignment="1">
      <alignment horizontal="right" vertical="top"/>
    </xf>
    <xf numFmtId="167" fontId="0" fillId="9" borderId="23" xfId="0" applyNumberFormat="1" applyFont="1" applyFill="1" applyBorder="1" applyAlignment="1">
      <alignment horizontal="right" vertical="top"/>
    </xf>
    <xf numFmtId="0" fontId="40" fillId="0" borderId="23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/>
    </xf>
    <xf numFmtId="167" fontId="10" fillId="0" borderId="23" xfId="0" applyNumberFormat="1" applyFont="1" applyBorder="1" applyAlignment="1">
      <alignment horizontal="right" vertical="center"/>
    </xf>
    <xf numFmtId="167" fontId="10" fillId="0" borderId="23" xfId="0" applyNumberFormat="1" applyFont="1" applyBorder="1" applyAlignment="1">
      <alignment horizontal="center" vertical="center"/>
    </xf>
    <xf numFmtId="167" fontId="10" fillId="0" borderId="23" xfId="0" applyNumberFormat="1" applyFont="1" applyBorder="1" applyAlignment="1">
      <alignment vertical="center"/>
    </xf>
    <xf numFmtId="0" fontId="10" fillId="8" borderId="23" xfId="0" applyFont="1" applyFill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2" fontId="10" fillId="8" borderId="23" xfId="0" applyNumberFormat="1" applyFont="1" applyFill="1" applyBorder="1" applyAlignment="1">
      <alignment horizontal="right" vertical="center"/>
    </xf>
    <xf numFmtId="167" fontId="10" fillId="8" borderId="23" xfId="0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center"/>
    </xf>
    <xf numFmtId="0" fontId="3" fillId="5" borderId="66" xfId="0" applyFont="1" applyFill="1" applyBorder="1" applyAlignment="1">
      <alignment horizontal="center" vertical="center" wrapText="1"/>
    </xf>
    <xf numFmtId="2" fontId="7" fillId="5" borderId="78" xfId="0" applyNumberFormat="1" applyFont="1" applyFill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42" fillId="3" borderId="22" xfId="0" applyFont="1" applyFill="1" applyBorder="1" applyAlignment="1">
      <alignment vertical="center" wrapText="1"/>
    </xf>
    <xf numFmtId="0" fontId="7" fillId="9" borderId="23" xfId="0" applyFont="1" applyFill="1" applyBorder="1" applyAlignment="1">
      <alignment vertical="center" wrapText="1"/>
    </xf>
    <xf numFmtId="0" fontId="3" fillId="0" borderId="85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2" fontId="3" fillId="0" borderId="41" xfId="0" applyNumberFormat="1" applyFont="1" applyBorder="1" applyAlignment="1">
      <alignment horizontal="right" vertical="center" wrapText="1"/>
    </xf>
    <xf numFmtId="0" fontId="3" fillId="8" borderId="86" xfId="0" applyFont="1" applyFill="1" applyBorder="1" applyAlignment="1">
      <alignment horizontal="left" vertical="center"/>
    </xf>
    <xf numFmtId="0" fontId="3" fillId="8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left" vertical="center" wrapText="1"/>
    </xf>
    <xf numFmtId="2" fontId="3" fillId="8" borderId="54" xfId="0" applyNumberFormat="1" applyFont="1" applyFill="1" applyBorder="1" applyAlignment="1">
      <alignment horizontal="right" vertical="center"/>
    </xf>
    <xf numFmtId="2" fontId="3" fillId="0" borderId="87" xfId="0" applyNumberFormat="1" applyFont="1" applyBorder="1" applyAlignment="1">
      <alignment horizontal="right" vertical="center"/>
    </xf>
    <xf numFmtId="0" fontId="2" fillId="8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3" fillId="11" borderId="23" xfId="0" applyFont="1" applyFill="1" applyBorder="1" applyAlignment="1">
      <alignment horizontal="left" vertical="center" wrapText="1"/>
    </xf>
    <xf numFmtId="167" fontId="3" fillId="11" borderId="23" xfId="0" applyNumberFormat="1" applyFont="1" applyFill="1" applyBorder="1" applyAlignment="1">
      <alignment horizontal="right" vertical="center"/>
    </xf>
    <xf numFmtId="0" fontId="3" fillId="12" borderId="23" xfId="0" applyFont="1" applyFill="1" applyBorder="1" applyAlignment="1">
      <alignment horizontal="left" vertical="center" wrapText="1"/>
    </xf>
    <xf numFmtId="0" fontId="3" fillId="3" borderId="81" xfId="0" applyFont="1" applyFill="1" applyBorder="1" applyAlignment="1">
      <alignment horizontal="center" vertical="center"/>
    </xf>
    <xf numFmtId="4" fontId="2" fillId="0" borderId="23" xfId="0" applyNumberFormat="1" applyFont="1" applyBorder="1" applyAlignment="1">
      <alignment horizontal="right" vertical="center"/>
    </xf>
    <xf numFmtId="9" fontId="2" fillId="0" borderId="23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 wrapText="1"/>
    </xf>
    <xf numFmtId="2" fontId="3" fillId="8" borderId="23" xfId="0" applyNumberFormat="1" applyFont="1" applyFill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/>
    </xf>
    <xf numFmtId="2" fontId="2" fillId="0" borderId="23" xfId="0" applyNumberFormat="1" applyFont="1" applyBorder="1" applyAlignment="1">
      <alignment horizontal="right" vertical="center" wrapText="1"/>
    </xf>
    <xf numFmtId="0" fontId="43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vertical="center" wrapText="1"/>
    </xf>
    <xf numFmtId="4" fontId="34" fillId="0" borderId="23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right" vertical="center"/>
    </xf>
    <xf numFmtId="0" fontId="2" fillId="9" borderId="23" xfId="0" applyFont="1" applyFill="1" applyBorder="1" applyAlignment="1">
      <alignment vertical="center" wrapText="1"/>
    </xf>
    <xf numFmtId="4" fontId="2" fillId="9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2" fontId="34" fillId="0" borderId="23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 wrapText="1"/>
    </xf>
    <xf numFmtId="2" fontId="34" fillId="0" borderId="23" xfId="0" applyNumberFormat="1" applyFont="1" applyBorder="1" applyAlignment="1">
      <alignment horizontal="right" vertical="center" wrapText="1"/>
    </xf>
    <xf numFmtId="0" fontId="7" fillId="5" borderId="88" xfId="0" applyFont="1" applyFill="1" applyBorder="1" applyAlignment="1">
      <alignment vertical="center"/>
    </xf>
    <xf numFmtId="0" fontId="3" fillId="5" borderId="89" xfId="0" applyFont="1" applyFill="1" applyBorder="1" applyAlignment="1">
      <alignment horizontal="center" vertical="center" wrapText="1"/>
    </xf>
    <xf numFmtId="2" fontId="3" fillId="8" borderId="23" xfId="0" applyNumberFormat="1" applyFont="1" applyFill="1" applyBorder="1" applyAlignment="1">
      <alignment vertical="center"/>
    </xf>
    <xf numFmtId="0" fontId="22" fillId="0" borderId="23" xfId="0" applyFont="1" applyBorder="1"/>
    <xf numFmtId="2" fontId="21" fillId="0" borderId="23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7" fillId="5" borderId="88" xfId="0" applyFont="1" applyFill="1" applyBorder="1" applyAlignment="1">
      <alignment vertical="top"/>
    </xf>
    <xf numFmtId="0" fontId="44" fillId="3" borderId="22" xfId="0" applyFont="1" applyFill="1" applyBorder="1" applyAlignment="1">
      <alignment vertical="center"/>
    </xf>
    <xf numFmtId="167" fontId="2" fillId="0" borderId="23" xfId="0" applyNumberFormat="1" applyFont="1" applyBorder="1" applyAlignment="1">
      <alignment horizontal="right" vertical="center" wrapText="1"/>
    </xf>
    <xf numFmtId="166" fontId="3" fillId="8" borderId="23" xfId="0" applyNumberFormat="1" applyFont="1" applyFill="1" applyBorder="1" applyAlignment="1">
      <alignment vertical="center"/>
    </xf>
    <xf numFmtId="164" fontId="24" fillId="0" borderId="3" xfId="0" applyNumberFormat="1" applyFont="1" applyBorder="1" applyAlignment="1">
      <alignment horizontal="right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2" fillId="0" borderId="29" xfId="0" applyFont="1" applyBorder="1"/>
    <xf numFmtId="164" fontId="7" fillId="0" borderId="29" xfId="0" applyNumberFormat="1" applyFont="1" applyBorder="1" applyAlignment="1">
      <alignment vertical="center"/>
    </xf>
    <xf numFmtId="164" fontId="7" fillId="0" borderId="90" xfId="0" applyNumberFormat="1" applyFont="1" applyBorder="1" applyAlignment="1">
      <alignment vertical="center"/>
    </xf>
    <xf numFmtId="164" fontId="7" fillId="0" borderId="71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9" fontId="7" fillId="0" borderId="29" xfId="0" applyNumberFormat="1" applyFont="1" applyBorder="1" applyAlignment="1">
      <alignment vertical="center"/>
    </xf>
    <xf numFmtId="49" fontId="7" fillId="0" borderId="90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10" fontId="28" fillId="0" borderId="39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71" fontId="29" fillId="0" borderId="23" xfId="0" applyNumberFormat="1" applyFont="1" applyBorder="1" applyAlignment="1">
      <alignment horizontal="left"/>
    </xf>
    <xf numFmtId="10" fontId="29" fillId="0" borderId="23" xfId="0" applyNumberFormat="1" applyFont="1" applyBorder="1" applyAlignment="1">
      <alignment horizontal="center" vertical="center"/>
    </xf>
    <xf numFmtId="164" fontId="29" fillId="0" borderId="23" xfId="0" applyNumberFormat="1" applyFont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2" fontId="29" fillId="0" borderId="23" xfId="0" applyNumberFormat="1" applyFont="1" applyBorder="1" applyAlignment="1">
      <alignment horizontal="right" vertical="center"/>
    </xf>
    <xf numFmtId="169" fontId="7" fillId="3" borderId="22" xfId="0" applyNumberFormat="1" applyFont="1" applyFill="1" applyBorder="1" applyAlignment="1">
      <alignment horizontal="right" vertical="top"/>
    </xf>
    <xf numFmtId="0" fontId="29" fillId="13" borderId="23" xfId="0" applyFont="1" applyFill="1" applyBorder="1" applyAlignment="1">
      <alignment horizontal="center" vertical="center" wrapText="1"/>
    </xf>
    <xf numFmtId="171" fontId="27" fillId="13" borderId="23" xfId="0" applyNumberFormat="1" applyFont="1" applyFill="1" applyBorder="1" applyAlignment="1">
      <alignment horizontal="center"/>
    </xf>
    <xf numFmtId="171" fontId="29" fillId="13" borderId="23" xfId="0" applyNumberFormat="1" applyFont="1" applyFill="1" applyBorder="1" applyAlignment="1">
      <alignment horizontal="left"/>
    </xf>
    <xf numFmtId="10" fontId="29" fillId="13" borderId="23" xfId="0" applyNumberFormat="1" applyFont="1" applyFill="1" applyBorder="1" applyAlignment="1">
      <alignment horizontal="center" vertical="center"/>
    </xf>
    <xf numFmtId="164" fontId="29" fillId="13" borderId="23" xfId="0" applyNumberFormat="1" applyFont="1" applyFill="1" applyBorder="1" applyAlignment="1">
      <alignment horizontal="center" vertical="center"/>
    </xf>
    <xf numFmtId="171" fontId="2" fillId="0" borderId="0" xfId="0" applyNumberFormat="1" applyFont="1"/>
    <xf numFmtId="171" fontId="29" fillId="3" borderId="23" xfId="0" applyNumberFormat="1" applyFont="1" applyFill="1" applyBorder="1" applyAlignment="1">
      <alignment horizontal="left"/>
    </xf>
    <xf numFmtId="0" fontId="37" fillId="3" borderId="23" xfId="0" applyFont="1" applyFill="1" applyBorder="1"/>
    <xf numFmtId="0" fontId="19" fillId="0" borderId="23" xfId="0" applyFont="1" applyBorder="1" applyAlignment="1">
      <alignment horizontal="center" vertical="center" wrapText="1"/>
    </xf>
    <xf numFmtId="0" fontId="37" fillId="3" borderId="23" xfId="0" applyFont="1" applyFill="1" applyBorder="1" applyAlignment="1">
      <alignment wrapText="1"/>
    </xf>
    <xf numFmtId="0" fontId="3" fillId="14" borderId="23" xfId="0" applyFont="1" applyFill="1" applyBorder="1" applyAlignment="1">
      <alignment horizontal="left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3" fillId="14" borderId="40" xfId="0" applyFont="1" applyFill="1" applyBorder="1" applyAlignment="1">
      <alignment vertical="center" wrapText="1"/>
    </xf>
    <xf numFmtId="2" fontId="3" fillId="14" borderId="40" xfId="0" applyNumberFormat="1" applyFont="1" applyFill="1" applyBorder="1" applyAlignment="1">
      <alignment vertical="center" wrapText="1"/>
    </xf>
    <xf numFmtId="2" fontId="42" fillId="14" borderId="40" xfId="0" applyNumberFormat="1" applyFont="1" applyFill="1" applyBorder="1" applyAlignment="1">
      <alignment vertical="center" wrapText="1"/>
    </xf>
    <xf numFmtId="2" fontId="3" fillId="14" borderId="23" xfId="0" applyNumberFormat="1" applyFont="1" applyFill="1" applyBorder="1" applyAlignment="1">
      <alignment horizontal="right" vertical="center"/>
    </xf>
    <xf numFmtId="175" fontId="2" fillId="0" borderId="23" xfId="0" applyNumberFormat="1" applyFont="1" applyBorder="1" applyAlignment="1">
      <alignment horizontal="right" vertical="center"/>
    </xf>
    <xf numFmtId="175" fontId="2" fillId="0" borderId="23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0" fontId="7" fillId="5" borderId="91" xfId="0" applyFont="1" applyFill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 wrapText="1"/>
    </xf>
    <xf numFmtId="0" fontId="44" fillId="3" borderId="23" xfId="0" applyFont="1" applyFill="1" applyBorder="1" applyAlignment="1">
      <alignment wrapText="1"/>
    </xf>
    <xf numFmtId="171" fontId="19" fillId="0" borderId="23" xfId="0" applyNumberFormat="1" applyFont="1" applyBorder="1" applyAlignment="1">
      <alignment horizontal="left"/>
    </xf>
    <xf numFmtId="0" fontId="2" fillId="9" borderId="23" xfId="0" applyFont="1" applyFill="1" applyBorder="1" applyAlignment="1">
      <alignment horizontal="center" vertical="center" wrapText="1"/>
    </xf>
    <xf numFmtId="0" fontId="22" fillId="3" borderId="23" xfId="0" applyFont="1" applyFill="1" applyBorder="1"/>
    <xf numFmtId="0" fontId="10" fillId="0" borderId="23" xfId="0" applyFont="1" applyBorder="1" applyAlignment="1">
      <alignment wrapText="1"/>
    </xf>
    <xf numFmtId="0" fontId="10" fillId="3" borderId="23" xfId="0" applyFont="1" applyFill="1" applyBorder="1" applyAlignment="1">
      <alignment horizontal="right"/>
    </xf>
    <xf numFmtId="0" fontId="40" fillId="3" borderId="23" xfId="0" applyFont="1" applyFill="1" applyBorder="1" applyAlignment="1">
      <alignment horizontal="right"/>
    </xf>
    <xf numFmtId="0" fontId="40" fillId="0" borderId="23" xfId="0" applyFont="1" applyBorder="1" applyAlignment="1">
      <alignment horizontal="center" wrapText="1"/>
    </xf>
    <xf numFmtId="0" fontId="40" fillId="0" borderId="23" xfId="0" applyFont="1" applyBorder="1" applyAlignment="1">
      <alignment horizontal="center"/>
    </xf>
    <xf numFmtId="0" fontId="40" fillId="0" borderId="23" xfId="0" applyFont="1" applyBorder="1" applyAlignment="1">
      <alignment wrapText="1"/>
    </xf>
    <xf numFmtId="4" fontId="40" fillId="0" borderId="23" xfId="0" applyNumberFormat="1" applyFont="1" applyBorder="1" applyAlignment="1">
      <alignment horizontal="right"/>
    </xf>
    <xf numFmtId="0" fontId="45" fillId="0" borderId="23" xfId="0" applyFont="1" applyBorder="1" applyAlignment="1">
      <alignment wrapText="1"/>
    </xf>
    <xf numFmtId="2" fontId="45" fillId="0" borderId="23" xfId="0" applyNumberFormat="1" applyFont="1" applyBorder="1" applyAlignment="1">
      <alignment horizontal="right"/>
    </xf>
    <xf numFmtId="2" fontId="45" fillId="0" borderId="23" xfId="0" applyNumberFormat="1" applyFont="1" applyBorder="1" applyAlignment="1">
      <alignment horizontal="right" wrapText="1"/>
    </xf>
    <xf numFmtId="4" fontId="45" fillId="0" borderId="23" xfId="0" applyNumberFormat="1" applyFont="1" applyBorder="1" applyAlignment="1">
      <alignment horizontal="right"/>
    </xf>
    <xf numFmtId="0" fontId="2" fillId="11" borderId="23" xfId="0" applyFont="1" applyFill="1" applyBorder="1" applyAlignment="1">
      <alignment vertical="center" wrapText="1"/>
    </xf>
    <xf numFmtId="4" fontId="2" fillId="11" borderId="23" xfId="0" applyNumberFormat="1" applyFont="1" applyFill="1" applyBorder="1" applyAlignment="1">
      <alignment horizontal="right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/>
    </xf>
    <xf numFmtId="164" fontId="27" fillId="2" borderId="23" xfId="0" applyNumberFormat="1" applyFont="1" applyFill="1" applyBorder="1" applyAlignment="1">
      <alignment horizontal="center" vertical="center"/>
    </xf>
    <xf numFmtId="10" fontId="27" fillId="2" borderId="23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9" fontId="27" fillId="2" borderId="23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/>
    <xf numFmtId="16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/>
    </xf>
    <xf numFmtId="164" fontId="29" fillId="0" borderId="5" xfId="0" applyNumberFormat="1" applyFont="1" applyBorder="1" applyAlignment="1">
      <alignment horizontal="right"/>
    </xf>
    <xf numFmtId="0" fontId="27" fillId="3" borderId="86" xfId="0" applyFont="1" applyFill="1" applyBorder="1" applyAlignment="1">
      <alignment horizontal="center" vertical="center"/>
    </xf>
    <xf numFmtId="167" fontId="2" fillId="0" borderId="23" xfId="0" applyNumberFormat="1" applyFont="1" applyBorder="1" applyAlignment="1">
      <alignment horizontal="right" vertical="center"/>
    </xf>
    <xf numFmtId="0" fontId="27" fillId="3" borderId="22" xfId="0" applyFont="1" applyFill="1" applyBorder="1" applyAlignment="1">
      <alignment vertical="center"/>
    </xf>
    <xf numFmtId="164" fontId="27" fillId="3" borderId="22" xfId="0" applyNumberFormat="1" applyFont="1" applyFill="1" applyBorder="1" applyAlignment="1">
      <alignment horizontal="center" vertical="center"/>
    </xf>
    <xf numFmtId="9" fontId="27" fillId="3" borderId="22" xfId="0" applyNumberFormat="1" applyFont="1" applyFill="1" applyBorder="1" applyAlignment="1">
      <alignment horizontal="center" vertical="center"/>
    </xf>
    <xf numFmtId="164" fontId="27" fillId="3" borderId="92" xfId="0" applyNumberFormat="1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right"/>
    </xf>
    <xf numFmtId="166" fontId="2" fillId="0" borderId="23" xfId="0" applyNumberFormat="1" applyFont="1" applyBorder="1" applyAlignment="1">
      <alignment horizontal="right" vertical="center"/>
    </xf>
    <xf numFmtId="0" fontId="7" fillId="3" borderId="23" xfId="0" applyFont="1" applyFill="1" applyBorder="1" applyAlignment="1">
      <alignment vertical="center" wrapText="1"/>
    </xf>
    <xf numFmtId="0" fontId="3" fillId="11" borderId="23" xfId="0" applyFont="1" applyFill="1" applyBorder="1" applyAlignment="1">
      <alignment horizontal="center" wrapText="1"/>
    </xf>
    <xf numFmtId="0" fontId="3" fillId="11" borderId="23" xfId="0" applyFont="1" applyFill="1" applyBorder="1" applyAlignment="1">
      <alignment horizontal="left" wrapText="1"/>
    </xf>
    <xf numFmtId="0" fontId="3" fillId="11" borderId="23" xfId="0" applyFont="1" applyFill="1" applyBorder="1" applyAlignment="1">
      <alignment wrapText="1"/>
    </xf>
    <xf numFmtId="2" fontId="3" fillId="11" borderId="23" xfId="0" applyNumberFormat="1" applyFont="1" applyFill="1" applyBorder="1" applyAlignment="1">
      <alignment horizontal="center" wrapText="1"/>
    </xf>
    <xf numFmtId="2" fontId="3" fillId="11" borderId="23" xfId="0" applyNumberFormat="1" applyFont="1" applyFill="1" applyBorder="1" applyAlignment="1">
      <alignment wrapText="1"/>
    </xf>
    <xf numFmtId="0" fontId="3" fillId="3" borderId="60" xfId="0" applyFont="1" applyFill="1" applyBorder="1" applyAlignment="1">
      <alignment vertical="center" wrapText="1"/>
    </xf>
    <xf numFmtId="0" fontId="3" fillId="9" borderId="23" xfId="0" applyFont="1" applyFill="1" applyBorder="1" applyAlignment="1">
      <alignment horizontal="left" wrapText="1"/>
    </xf>
    <xf numFmtId="0" fontId="3" fillId="9" borderId="23" xfId="0" applyFont="1" applyFill="1" applyBorder="1" applyAlignment="1">
      <alignment horizontal="center" wrapText="1"/>
    </xf>
    <xf numFmtId="0" fontId="3" fillId="9" borderId="23" xfId="0" applyFont="1" applyFill="1" applyBorder="1" applyAlignment="1">
      <alignment wrapText="1"/>
    </xf>
    <xf numFmtId="2" fontId="3" fillId="9" borderId="23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wrapText="1"/>
    </xf>
    <xf numFmtId="2" fontId="3" fillId="9" borderId="23" xfId="0" applyNumberFormat="1" applyFont="1" applyFill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2" fontId="3" fillId="0" borderId="23" xfId="0" applyNumberFormat="1" applyFont="1" applyBorder="1" applyAlignment="1">
      <alignment horizontal="center" wrapText="1"/>
    </xf>
    <xf numFmtId="2" fontId="3" fillId="0" borderId="23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3" fillId="0" borderId="41" xfId="0" applyNumberFormat="1" applyFont="1" applyBorder="1" applyAlignment="1">
      <alignment vertical="center"/>
    </xf>
    <xf numFmtId="2" fontId="3" fillId="8" borderId="23" xfId="0" applyNumberFormat="1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2" fontId="7" fillId="5" borderId="95" xfId="0" applyNumberFormat="1" applyFont="1" applyFill="1" applyBorder="1" applyAlignment="1">
      <alignment horizontal="right" vertical="center"/>
    </xf>
    <xf numFmtId="0" fontId="3" fillId="5" borderId="12" xfId="0" applyFont="1" applyFill="1" applyBorder="1" applyAlignment="1">
      <alignment vertical="center"/>
    </xf>
    <xf numFmtId="0" fontId="3" fillId="5" borderId="9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 wrapText="1"/>
    </xf>
    <xf numFmtId="0" fontId="3" fillId="3" borderId="22" xfId="0" applyFont="1" applyFill="1" applyBorder="1" applyAlignment="1">
      <alignment horizontal="center" vertical="center" wrapText="1"/>
    </xf>
    <xf numFmtId="2" fontId="3" fillId="3" borderId="81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left" vertical="top" wrapText="1"/>
    </xf>
    <xf numFmtId="0" fontId="3" fillId="8" borderId="23" xfId="0" applyFont="1" applyFill="1" applyBorder="1" applyAlignment="1">
      <alignment horizontal="right" vertical="center"/>
    </xf>
    <xf numFmtId="0" fontId="37" fillId="3" borderId="23" xfId="0" applyFont="1" applyFill="1" applyBorder="1" applyAlignment="1">
      <alignment vertical="center"/>
    </xf>
    <xf numFmtId="0" fontId="3" fillId="8" borderId="22" xfId="0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left" vertical="center"/>
    </xf>
    <xf numFmtId="0" fontId="3" fillId="5" borderId="54" xfId="0" applyFont="1" applyFill="1" applyBorder="1" applyAlignment="1">
      <alignment horizontal="center" vertical="center" wrapText="1"/>
    </xf>
    <xf numFmtId="2" fontId="3" fillId="0" borderId="87" xfId="0" applyNumberFormat="1" applyFont="1" applyBorder="1" applyAlignment="1">
      <alignment vertical="center"/>
    </xf>
    <xf numFmtId="0" fontId="3" fillId="5" borderId="23" xfId="0" applyFont="1" applyFill="1" applyBorder="1" applyAlignment="1">
      <alignment horizontal="left" vertical="center"/>
    </xf>
    <xf numFmtId="0" fontId="3" fillId="5" borderId="91" xfId="0" applyFont="1" applyFill="1" applyBorder="1" applyAlignment="1">
      <alignment horizontal="left" vertical="center"/>
    </xf>
    <xf numFmtId="0" fontId="3" fillId="5" borderId="102" xfId="0" applyFont="1" applyFill="1" applyBorder="1" applyAlignment="1">
      <alignment horizontal="center" vertical="center" wrapText="1"/>
    </xf>
    <xf numFmtId="2" fontId="3" fillId="5" borderId="91" xfId="0" applyNumberFormat="1" applyFont="1" applyFill="1" applyBorder="1" applyAlignment="1">
      <alignment horizontal="left" vertical="center"/>
    </xf>
    <xf numFmtId="0" fontId="7" fillId="5" borderId="12" xfId="0" applyFont="1" applyFill="1" applyBorder="1" applyAlignment="1">
      <alignment vertical="center"/>
    </xf>
    <xf numFmtId="0" fontId="7" fillId="5" borderId="91" xfId="0" applyFont="1" applyFill="1" applyBorder="1" applyAlignment="1">
      <alignment vertical="top"/>
    </xf>
    <xf numFmtId="0" fontId="3" fillId="5" borderId="102" xfId="0" applyFont="1" applyFill="1" applyBorder="1" applyAlignment="1">
      <alignment horizontal="center" wrapText="1"/>
    </xf>
    <xf numFmtId="0" fontId="7" fillId="5" borderId="102" xfId="0" applyFont="1" applyFill="1" applyBorder="1" applyAlignment="1">
      <alignment horizontal="right" vertical="top"/>
    </xf>
    <xf numFmtId="2" fontId="7" fillId="5" borderId="103" xfId="0" applyNumberFormat="1" applyFont="1" applyFill="1" applyBorder="1" applyAlignment="1">
      <alignment horizontal="right" vertical="top"/>
    </xf>
    <xf numFmtId="2" fontId="3" fillId="8" borderId="23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right" vertical="top"/>
    </xf>
    <xf numFmtId="2" fontId="3" fillId="3" borderId="23" xfId="0" applyNumberFormat="1" applyFont="1" applyFill="1" applyBorder="1" applyAlignment="1">
      <alignment horizontal="left" vertical="center"/>
    </xf>
    <xf numFmtId="2" fontId="3" fillId="0" borderId="8" xfId="0" applyNumberFormat="1" applyFont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vertical="center" wrapText="1"/>
    </xf>
    <xf numFmtId="2" fontId="10" fillId="3" borderId="24" xfId="0" applyNumberFormat="1" applyFont="1" applyFill="1" applyBorder="1" applyAlignment="1">
      <alignment horizontal="right" vertical="center" wrapText="1"/>
    </xf>
    <xf numFmtId="0" fontId="7" fillId="5" borderId="104" xfId="0" applyFont="1" applyFill="1" applyBorder="1" applyAlignment="1">
      <alignment vertical="center"/>
    </xf>
    <xf numFmtId="0" fontId="10" fillId="3" borderId="22" xfId="0" applyFont="1" applyFill="1" applyBorder="1" applyAlignment="1">
      <alignment horizontal="center"/>
    </xf>
    <xf numFmtId="0" fontId="7" fillId="3" borderId="86" xfId="0" applyFont="1" applyFill="1" applyBorder="1" applyAlignment="1">
      <alignment vertical="top"/>
    </xf>
    <xf numFmtId="0" fontId="7" fillId="15" borderId="86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92" xfId="0" applyFont="1" applyFill="1" applyBorder="1" applyAlignment="1">
      <alignment horizontal="center"/>
    </xf>
    <xf numFmtId="176" fontId="3" fillId="8" borderId="40" xfId="0" applyNumberFormat="1" applyFont="1" applyFill="1" applyBorder="1" applyAlignment="1">
      <alignment horizontal="right" vertical="center"/>
    </xf>
    <xf numFmtId="0" fontId="3" fillId="5" borderId="105" xfId="0" applyFont="1" applyFill="1" applyBorder="1" applyAlignment="1">
      <alignment horizontal="center" vertical="center" wrapText="1"/>
    </xf>
    <xf numFmtId="177" fontId="3" fillId="8" borderId="23" xfId="0" applyNumberFormat="1" applyFont="1" applyFill="1" applyBorder="1" applyAlignment="1">
      <alignment horizontal="left" vertical="center"/>
    </xf>
    <xf numFmtId="0" fontId="3" fillId="5" borderId="107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2" fontId="10" fillId="0" borderId="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2" fontId="10" fillId="3" borderId="24" xfId="0" applyNumberFormat="1" applyFont="1" applyFill="1" applyBorder="1" applyAlignment="1">
      <alignment horizontal="right" vertical="center"/>
    </xf>
    <xf numFmtId="0" fontId="21" fillId="8" borderId="23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2" fontId="10" fillId="3" borderId="23" xfId="0" applyNumberFormat="1" applyFont="1" applyFill="1" applyBorder="1" applyAlignment="1">
      <alignment horizontal="right" vertical="center" wrapText="1"/>
    </xf>
    <xf numFmtId="178" fontId="3" fillId="8" borderId="23" xfId="0" applyNumberFormat="1" applyFont="1" applyFill="1" applyBorder="1" applyAlignment="1">
      <alignment horizontal="left" vertical="center"/>
    </xf>
    <xf numFmtId="2" fontId="3" fillId="0" borderId="31" xfId="0" applyNumberFormat="1" applyFont="1" applyBorder="1" applyAlignment="1">
      <alignment horizontal="right" vertical="center"/>
    </xf>
    <xf numFmtId="0" fontId="10" fillId="3" borderId="22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vertical="center" wrapText="1"/>
    </xf>
    <xf numFmtId="2" fontId="3" fillId="0" borderId="87" xfId="0" applyNumberFormat="1" applyFont="1" applyBorder="1" applyAlignment="1">
      <alignment vertical="center" wrapText="1"/>
    </xf>
    <xf numFmtId="0" fontId="3" fillId="3" borderId="91" xfId="0" applyFont="1" applyFill="1" applyBorder="1" applyAlignment="1">
      <alignment horizontal="left" vertical="center" wrapText="1"/>
    </xf>
    <xf numFmtId="179" fontId="7" fillId="6" borderId="23" xfId="0" applyNumberFormat="1" applyFont="1" applyFill="1" applyBorder="1" applyAlignment="1">
      <alignment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2" fontId="3" fillId="0" borderId="56" xfId="0" applyNumberFormat="1" applyFont="1" applyBorder="1" applyAlignment="1">
      <alignment vertical="center" wrapText="1"/>
    </xf>
    <xf numFmtId="2" fontId="7" fillId="0" borderId="109" xfId="0" applyNumberFormat="1" applyFont="1" applyBorder="1" applyAlignment="1">
      <alignment horizontal="right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2" fontId="7" fillId="0" borderId="31" xfId="0" applyNumberFormat="1" applyFont="1" applyBorder="1" applyAlignment="1">
      <alignment vertical="center" wrapText="1"/>
    </xf>
    <xf numFmtId="2" fontId="7" fillId="0" borderId="110" xfId="0" applyNumberFormat="1" applyFont="1" applyBorder="1" applyAlignment="1">
      <alignment horizontal="right" vertical="center" wrapText="1"/>
    </xf>
    <xf numFmtId="0" fontId="39" fillId="6" borderId="23" xfId="0" applyFont="1" applyFill="1" applyBorder="1" applyAlignment="1">
      <alignment horizontal="left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 wrapText="1"/>
    </xf>
    <xf numFmtId="2" fontId="39" fillId="6" borderId="23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vertical="center" wrapText="1"/>
    </xf>
    <xf numFmtId="0" fontId="3" fillId="16" borderId="22" xfId="0" applyFont="1" applyFill="1" applyBorder="1" applyAlignment="1">
      <alignment vertical="center" wrapText="1"/>
    </xf>
    <xf numFmtId="0" fontId="3" fillId="16" borderId="22" xfId="0" applyFont="1" applyFill="1" applyBorder="1" applyAlignment="1">
      <alignment horizontal="center" vertical="center" wrapText="1"/>
    </xf>
    <xf numFmtId="2" fontId="3" fillId="16" borderId="22" xfId="0" applyNumberFormat="1" applyFont="1" applyFill="1" applyBorder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2" fontId="46" fillId="0" borderId="23" xfId="0" applyNumberFormat="1" applyFont="1" applyBorder="1" applyAlignment="1">
      <alignment horizontal="right" vertical="center"/>
    </xf>
    <xf numFmtId="0" fontId="2" fillId="17" borderId="23" xfId="0" applyFont="1" applyFill="1" applyBorder="1" applyAlignment="1">
      <alignment horizontal="center" vertical="center"/>
    </xf>
    <xf numFmtId="0" fontId="2" fillId="17" borderId="23" xfId="0" applyFont="1" applyFill="1" applyBorder="1" applyAlignment="1">
      <alignment horizontal="center" vertical="center" wrapText="1"/>
    </xf>
    <xf numFmtId="0" fontId="34" fillId="17" borderId="23" xfId="0" applyFont="1" applyFill="1" applyBorder="1" applyAlignment="1">
      <alignment vertical="center" wrapText="1"/>
    </xf>
    <xf numFmtId="4" fontId="34" fillId="17" borderId="23" xfId="0" applyNumberFormat="1" applyFont="1" applyFill="1" applyBorder="1" applyAlignment="1">
      <alignment horizontal="right" vertical="center"/>
    </xf>
    <xf numFmtId="43" fontId="2" fillId="0" borderId="23" xfId="1" applyNumberFormat="1" applyFont="1" applyBorder="1" applyAlignment="1">
      <alignment horizontal="right" vertical="center"/>
    </xf>
    <xf numFmtId="43" fontId="2" fillId="0" borderId="23" xfId="1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0" fillId="0" borderId="0" xfId="0" applyFont="1" applyAlignment="1"/>
    <xf numFmtId="0" fontId="5" fillId="0" borderId="5" xfId="0" applyFont="1" applyBorder="1"/>
    <xf numFmtId="0" fontId="11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4" xfId="0" applyFont="1" applyBorder="1"/>
    <xf numFmtId="0" fontId="16" fillId="0" borderId="4" xfId="0" applyFont="1" applyBorder="1" applyAlignment="1">
      <alignment horizont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5" fillId="0" borderId="1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164" fontId="7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3" fillId="0" borderId="9" xfId="0" applyFont="1" applyBorder="1" applyAlignment="1">
      <alignment horizontal="left"/>
    </xf>
    <xf numFmtId="0" fontId="5" fillId="0" borderId="11" xfId="0" applyFont="1" applyBorder="1"/>
    <xf numFmtId="164" fontId="3" fillId="0" borderId="0" xfId="0" applyNumberFormat="1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right" vertical="top"/>
    </xf>
    <xf numFmtId="0" fontId="7" fillId="0" borderId="10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6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horizontal="right" vertical="center"/>
    </xf>
    <xf numFmtId="0" fontId="5" fillId="0" borderId="36" xfId="0" applyFont="1" applyBorder="1"/>
    <xf numFmtId="0" fontId="5" fillId="0" borderId="37" xfId="0" applyFont="1" applyBorder="1"/>
    <xf numFmtId="0" fontId="7" fillId="5" borderId="6" xfId="0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center"/>
    </xf>
    <xf numFmtId="0" fontId="5" fillId="0" borderId="64" xfId="0" applyFont="1" applyBorder="1"/>
    <xf numFmtId="0" fontId="5" fillId="0" borderId="65" xfId="0" applyFont="1" applyBorder="1"/>
    <xf numFmtId="0" fontId="7" fillId="5" borderId="35" xfId="0" applyFont="1" applyFill="1" applyBorder="1" applyAlignment="1">
      <alignment horizontal="right" vertical="top"/>
    </xf>
    <xf numFmtId="0" fontId="18" fillId="7" borderId="74" xfId="0" applyFont="1" applyFill="1" applyBorder="1" applyAlignment="1">
      <alignment horizontal="center" vertical="top" wrapText="1"/>
    </xf>
    <xf numFmtId="0" fontId="5" fillId="0" borderId="79" xfId="0" applyFont="1" applyBorder="1"/>
    <xf numFmtId="0" fontId="5" fillId="0" borderId="80" xfId="0" applyFont="1" applyBorder="1"/>
    <xf numFmtId="0" fontId="7" fillId="5" borderId="6" xfId="0" applyFont="1" applyFill="1" applyBorder="1" applyAlignment="1">
      <alignment horizontal="right"/>
    </xf>
    <xf numFmtId="0" fontId="7" fillId="4" borderId="96" xfId="0" applyFont="1" applyFill="1" applyBorder="1" applyAlignment="1">
      <alignment horizontal="center"/>
    </xf>
    <xf numFmtId="0" fontId="5" fillId="0" borderId="97" xfId="0" applyFont="1" applyBorder="1"/>
    <xf numFmtId="0" fontId="7" fillId="5" borderId="14" xfId="0" applyFont="1" applyFill="1" applyBorder="1" applyAlignment="1">
      <alignment horizontal="right" vertical="center"/>
    </xf>
    <xf numFmtId="0" fontId="5" fillId="0" borderId="93" xfId="0" applyFont="1" applyBorder="1"/>
    <xf numFmtId="0" fontId="5" fillId="0" borderId="94" xfId="0" applyFont="1" applyBorder="1"/>
    <xf numFmtId="0" fontId="5" fillId="0" borderId="106" xfId="0" applyFont="1" applyBorder="1"/>
    <xf numFmtId="0" fontId="7" fillId="4" borderId="99" xfId="0" applyFont="1" applyFill="1" applyBorder="1" applyAlignment="1">
      <alignment horizontal="center"/>
    </xf>
    <xf numFmtId="0" fontId="5" fillId="0" borderId="26" xfId="0" applyFont="1" applyBorder="1"/>
    <xf numFmtId="0" fontId="5" fillId="0" borderId="100" xfId="0" applyFont="1" applyBorder="1"/>
    <xf numFmtId="164" fontId="2" fillId="0" borderId="0" xfId="0" applyNumberFormat="1" applyFont="1" applyAlignment="1">
      <alignment horizontal="center" vertical="center"/>
    </xf>
    <xf numFmtId="180" fontId="4" fillId="6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5" fillId="0" borderId="108" xfId="0" applyFont="1" applyBorder="1"/>
    <xf numFmtId="0" fontId="7" fillId="5" borderId="25" xfId="0" applyFont="1" applyFill="1" applyBorder="1" applyAlignment="1">
      <alignment horizontal="right" vertical="center"/>
    </xf>
    <xf numFmtId="0" fontId="5" fillId="0" borderId="27" xfId="0" applyFont="1" applyBorder="1"/>
    <xf numFmtId="0" fontId="7" fillId="5" borderId="82" xfId="0" applyFont="1" applyFill="1" applyBorder="1" applyAlignment="1">
      <alignment horizontal="right" vertical="center"/>
    </xf>
    <xf numFmtId="0" fontId="5" fillId="0" borderId="83" xfId="0" applyFont="1" applyBorder="1"/>
    <xf numFmtId="0" fontId="5" fillId="0" borderId="84" xfId="0" applyFont="1" applyBorder="1"/>
    <xf numFmtId="0" fontId="7" fillId="5" borderId="25" xfId="0" applyFont="1" applyFill="1" applyBorder="1" applyAlignment="1">
      <alignment horizontal="right"/>
    </xf>
    <xf numFmtId="0" fontId="7" fillId="5" borderId="25" xfId="0" applyFont="1" applyFill="1" applyBorder="1" applyAlignment="1">
      <alignment horizontal="right" vertical="top"/>
    </xf>
    <xf numFmtId="0" fontId="19" fillId="3" borderId="2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5" fillId="0" borderId="47" xfId="0" applyFont="1" applyBorder="1"/>
    <xf numFmtId="171" fontId="29" fillId="0" borderId="44" xfId="0" applyNumberFormat="1" applyFont="1" applyBorder="1" applyAlignment="1">
      <alignment horizontal="left" vertical="center" wrapText="1"/>
    </xf>
    <xf numFmtId="0" fontId="5" fillId="0" borderId="48" xfId="0" applyFont="1" applyBorder="1"/>
    <xf numFmtId="10" fontId="29" fillId="0" borderId="4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2" fontId="19" fillId="0" borderId="45" xfId="0" applyNumberFormat="1" applyFont="1" applyBorder="1" applyAlignment="1">
      <alignment horizontal="center" vertical="center"/>
    </xf>
    <xf numFmtId="0" fontId="5" fillId="0" borderId="49" xfId="0" applyFont="1" applyBorder="1"/>
    <xf numFmtId="2" fontId="19" fillId="0" borderId="57" xfId="0" applyNumberFormat="1" applyFont="1" applyBorder="1" applyAlignment="1">
      <alignment horizontal="center" vertical="center"/>
    </xf>
    <xf numFmtId="0" fontId="5" fillId="0" borderId="58" xfId="0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9" xfId="0" applyFont="1" applyBorder="1"/>
    <xf numFmtId="0" fontId="27" fillId="0" borderId="41" xfId="0" applyFont="1" applyBorder="1" applyAlignment="1">
      <alignment horizontal="center" vertical="center" wrapText="1"/>
    </xf>
    <xf numFmtId="0" fontId="5" fillId="0" borderId="39" xfId="0" applyFont="1" applyBorder="1"/>
    <xf numFmtId="170" fontId="27" fillId="0" borderId="41" xfId="0" applyNumberFormat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29" fillId="0" borderId="67" xfId="0" applyFont="1" applyBorder="1" applyAlignment="1">
      <alignment vertical="center" wrapText="1"/>
    </xf>
    <xf numFmtId="0" fontId="5" fillId="0" borderId="68" xfId="0" applyFont="1" applyBorder="1"/>
    <xf numFmtId="0" fontId="19" fillId="0" borderId="71" xfId="0" applyFont="1" applyBorder="1" applyAlignment="1">
      <alignment vertical="center" wrapText="1"/>
    </xf>
    <xf numFmtId="0" fontId="5" fillId="0" borderId="30" xfId="0" applyFont="1" applyBorder="1"/>
    <xf numFmtId="0" fontId="29" fillId="0" borderId="71" xfId="0" applyFont="1" applyBorder="1" applyAlignment="1">
      <alignment vertical="center" wrapText="1"/>
    </xf>
    <xf numFmtId="0" fontId="29" fillId="0" borderId="74" xfId="0" applyFont="1" applyBorder="1" applyAlignment="1">
      <alignment vertical="center" wrapText="1"/>
    </xf>
    <xf numFmtId="0" fontId="5" fillId="0" borderId="75" xfId="0" applyFont="1" applyBorder="1"/>
    <xf numFmtId="0" fontId="38" fillId="0" borderId="0" xfId="0" applyFont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7" fillId="0" borderId="41" xfId="0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46"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2</xdr:row>
      <xdr:rowOff>38100</xdr:rowOff>
    </xdr:from>
    <xdr:ext cx="4591050" cy="21907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17</xdr:row>
      <xdr:rowOff>19050</xdr:rowOff>
    </xdr:from>
    <xdr:ext cx="4286250" cy="166687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733425</xdr:colOff>
      <xdr:row>17</xdr:row>
      <xdr:rowOff>19050</xdr:rowOff>
    </xdr:from>
    <xdr:ext cx="4286250" cy="1666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704975" cy="571500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1590675" cy="638175"/>
    <xdr:pic>
      <xdr:nvPicPr>
        <xdr:cNvPr id="2" name="image3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1409700" cy="63817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352550" cy="51435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447800" cy="64770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28" workbookViewId="0">
      <selection activeCell="O22" sqref="O22"/>
    </sheetView>
  </sheetViews>
  <sheetFormatPr defaultColWidth="14.42578125" defaultRowHeight="15" customHeight="1"/>
  <cols>
    <col min="1" max="9" width="9.140625" customWidth="1"/>
    <col min="10" max="26" width="8" customWidth="1"/>
  </cols>
  <sheetData>
    <row r="1" spans="1:26" ht="12.75" customHeight="1">
      <c r="A1" s="2"/>
      <c r="B1" s="4"/>
      <c r="C1" s="4"/>
      <c r="D1" s="4"/>
      <c r="E1" s="4"/>
      <c r="F1" s="4"/>
      <c r="G1" s="4"/>
      <c r="H1" s="4"/>
      <c r="I1" s="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10"/>
      <c r="B2" s="11"/>
      <c r="C2" s="11"/>
      <c r="D2" s="11"/>
      <c r="E2" s="11"/>
      <c r="F2" s="11"/>
      <c r="G2" s="11"/>
      <c r="H2" s="11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>
      <c r="A3" s="10"/>
      <c r="B3" s="11"/>
      <c r="C3" s="11"/>
      <c r="D3" s="11"/>
      <c r="E3" s="11"/>
      <c r="F3" s="11"/>
      <c r="G3" s="11"/>
      <c r="H3" s="11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10"/>
      <c r="B4" s="11"/>
      <c r="C4" s="11"/>
      <c r="D4" s="11"/>
      <c r="E4" s="11"/>
      <c r="F4" s="11"/>
      <c r="G4" s="11"/>
      <c r="H4" s="11"/>
      <c r="I4" s="1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10"/>
      <c r="B5" s="11"/>
      <c r="C5" s="11"/>
      <c r="D5" s="11"/>
      <c r="E5" s="11"/>
      <c r="F5" s="11"/>
      <c r="G5" s="11"/>
      <c r="H5" s="11"/>
      <c r="I5" s="1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10"/>
      <c r="B6" s="11"/>
      <c r="C6" s="11"/>
      <c r="D6" s="11"/>
      <c r="E6" s="11"/>
      <c r="F6" s="11"/>
      <c r="G6" s="11"/>
      <c r="H6" s="11"/>
      <c r="I6" s="1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10"/>
      <c r="B7" s="11"/>
      <c r="C7" s="11"/>
      <c r="D7" s="11"/>
      <c r="E7" s="11"/>
      <c r="F7" s="11"/>
      <c r="G7" s="11"/>
      <c r="H7" s="11"/>
      <c r="I7" s="1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10"/>
      <c r="B8" s="11"/>
      <c r="C8" s="11"/>
      <c r="D8" s="11"/>
      <c r="E8" s="11"/>
      <c r="F8" s="11"/>
      <c r="G8" s="11"/>
      <c r="H8" s="11"/>
      <c r="I8" s="12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10"/>
      <c r="B9" s="11"/>
      <c r="C9" s="11"/>
      <c r="D9" s="11"/>
      <c r="E9" s="11"/>
      <c r="F9" s="11"/>
      <c r="G9" s="11"/>
      <c r="H9" s="11"/>
      <c r="I9" s="1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10"/>
      <c r="B10" s="11"/>
      <c r="C10" s="11"/>
      <c r="D10" s="11"/>
      <c r="E10" s="11"/>
      <c r="F10" s="11"/>
      <c r="G10" s="11"/>
      <c r="H10" s="11"/>
      <c r="I10" s="1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10"/>
      <c r="B11" s="11"/>
      <c r="C11" s="11"/>
      <c r="D11" s="11"/>
      <c r="E11" s="11"/>
      <c r="F11" s="11"/>
      <c r="G11" s="11"/>
      <c r="H11" s="11"/>
      <c r="I11" s="1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10"/>
      <c r="B12" s="11"/>
      <c r="C12" s="11"/>
      <c r="D12" s="11"/>
      <c r="E12" s="11"/>
      <c r="F12" s="11"/>
      <c r="G12" s="11"/>
      <c r="H12" s="11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10"/>
      <c r="B13" s="11"/>
      <c r="C13" s="11"/>
      <c r="D13" s="11"/>
      <c r="E13" s="11"/>
      <c r="F13" s="11"/>
      <c r="G13" s="11"/>
      <c r="H13" s="11"/>
      <c r="I13" s="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10"/>
      <c r="B14" s="11"/>
      <c r="C14" s="11"/>
      <c r="D14" s="11"/>
      <c r="E14" s="11"/>
      <c r="F14" s="11"/>
      <c r="G14" s="11"/>
      <c r="H14" s="11"/>
      <c r="I14" s="1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10"/>
      <c r="B15" s="11"/>
      <c r="C15" s="11"/>
      <c r="D15" s="11"/>
      <c r="E15" s="11"/>
      <c r="F15" s="11"/>
      <c r="G15" s="11"/>
      <c r="H15" s="11"/>
      <c r="I15" s="12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10"/>
      <c r="B16" s="11"/>
      <c r="C16" s="11"/>
      <c r="D16" s="11"/>
      <c r="E16" s="11"/>
      <c r="F16" s="11"/>
      <c r="G16" s="11"/>
      <c r="H16" s="11"/>
      <c r="I16" s="1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25"/>
      <c r="B17" s="8"/>
      <c r="C17" s="8"/>
      <c r="D17" s="8"/>
      <c r="E17" s="8"/>
      <c r="F17" s="8"/>
      <c r="G17" s="8"/>
      <c r="H17" s="8"/>
      <c r="I17" s="2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25"/>
      <c r="B18" s="8"/>
      <c r="C18" s="8"/>
      <c r="D18" s="8"/>
      <c r="E18" s="8"/>
      <c r="F18" s="8"/>
      <c r="G18" s="8"/>
      <c r="H18" s="8"/>
      <c r="I18" s="2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75" customHeight="1">
      <c r="A19" s="671" t="s">
        <v>3</v>
      </c>
      <c r="B19" s="669"/>
      <c r="C19" s="669"/>
      <c r="D19" s="669"/>
      <c r="E19" s="669"/>
      <c r="F19" s="669"/>
      <c r="G19" s="669"/>
      <c r="H19" s="669"/>
      <c r="I19" s="67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9.5" customHeight="1">
      <c r="A20" s="32"/>
      <c r="B20" s="33"/>
      <c r="C20" s="30"/>
      <c r="D20" s="30"/>
      <c r="E20" s="30"/>
      <c r="F20" s="30"/>
      <c r="G20" s="30"/>
      <c r="H20" s="30"/>
      <c r="I20" s="44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4.75" customHeight="1">
      <c r="A21" s="668" t="s">
        <v>12</v>
      </c>
      <c r="B21" s="669"/>
      <c r="C21" s="669"/>
      <c r="D21" s="669"/>
      <c r="E21" s="669"/>
      <c r="F21" s="669"/>
      <c r="G21" s="669"/>
      <c r="H21" s="669"/>
      <c r="I21" s="67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9.5" customHeight="1">
      <c r="A22" s="46"/>
      <c r="B22" s="47"/>
      <c r="C22" s="47"/>
      <c r="D22" s="47"/>
      <c r="E22" s="47"/>
      <c r="F22" s="47"/>
      <c r="G22" s="47"/>
      <c r="H22" s="47"/>
      <c r="I22" s="48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57" customHeight="1">
      <c r="A23" s="675"/>
      <c r="B23" s="669"/>
      <c r="C23" s="669"/>
      <c r="D23" s="669"/>
      <c r="E23" s="669"/>
      <c r="F23" s="669"/>
      <c r="G23" s="669"/>
      <c r="H23" s="669"/>
      <c r="I23" s="67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.75" customHeight="1">
      <c r="A24" s="46"/>
      <c r="B24" s="47"/>
      <c r="C24" s="47"/>
      <c r="D24" s="47"/>
      <c r="E24" s="47"/>
      <c r="F24" s="47"/>
      <c r="G24" s="47"/>
      <c r="H24" s="47"/>
      <c r="I24" s="48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5" customHeight="1">
      <c r="A25" s="673"/>
      <c r="B25" s="669"/>
      <c r="C25" s="669"/>
      <c r="D25" s="669"/>
      <c r="E25" s="669"/>
      <c r="F25" s="669"/>
      <c r="G25" s="669"/>
      <c r="H25" s="669"/>
      <c r="I25" s="67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1" customHeight="1">
      <c r="A26" s="674"/>
      <c r="B26" s="669"/>
      <c r="C26" s="669"/>
      <c r="D26" s="669"/>
      <c r="E26" s="669"/>
      <c r="F26" s="669"/>
      <c r="G26" s="669"/>
      <c r="H26" s="669"/>
      <c r="I26" s="67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.75" customHeight="1">
      <c r="A27" s="46"/>
      <c r="B27" s="47"/>
      <c r="C27" s="47"/>
      <c r="D27" s="47"/>
      <c r="E27" s="47"/>
      <c r="F27" s="47"/>
      <c r="G27" s="47"/>
      <c r="H27" s="47"/>
      <c r="I27" s="48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.75" customHeight="1">
      <c r="A28" s="46"/>
      <c r="B28" s="47"/>
      <c r="C28" s="47"/>
      <c r="D28" s="47"/>
      <c r="E28" s="47"/>
      <c r="F28" s="47"/>
      <c r="G28" s="47"/>
      <c r="H28" s="47"/>
      <c r="I28" s="48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.75" customHeight="1">
      <c r="A29" s="50"/>
      <c r="B29" s="53"/>
      <c r="C29" s="53"/>
      <c r="D29" s="53"/>
      <c r="E29" s="53"/>
      <c r="F29" s="53"/>
      <c r="G29" s="53"/>
      <c r="H29" s="53"/>
      <c r="I29" s="54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.75" customHeight="1">
      <c r="A30" s="50"/>
      <c r="B30" s="53"/>
      <c r="C30" s="53"/>
      <c r="D30" s="53"/>
      <c r="E30" s="53"/>
      <c r="F30" s="53"/>
      <c r="G30" s="53"/>
      <c r="H30" s="53"/>
      <c r="I30" s="54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.75" customHeight="1">
      <c r="A31" s="50"/>
      <c r="B31" s="53"/>
      <c r="C31" s="53"/>
      <c r="D31" s="53"/>
      <c r="E31" s="53"/>
      <c r="F31" s="53"/>
      <c r="G31" s="53"/>
      <c r="H31" s="53"/>
      <c r="I31" s="54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.75" customHeight="1">
      <c r="A32" s="32"/>
      <c r="B32" s="30"/>
      <c r="C32" s="30"/>
      <c r="D32" s="30"/>
      <c r="E32" s="30"/>
      <c r="F32" s="30"/>
      <c r="G32" s="30"/>
      <c r="H32" s="30"/>
      <c r="I32" s="44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9.5" customHeight="1">
      <c r="A33" s="672" t="s">
        <v>30</v>
      </c>
      <c r="B33" s="669"/>
      <c r="C33" s="669"/>
      <c r="D33" s="669"/>
      <c r="E33" s="669"/>
      <c r="F33" s="669"/>
      <c r="G33" s="669"/>
      <c r="H33" s="669"/>
      <c r="I33" s="67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9.5" customHeight="1">
      <c r="A34" s="672" t="s">
        <v>34</v>
      </c>
      <c r="B34" s="669"/>
      <c r="C34" s="669"/>
      <c r="D34" s="669"/>
      <c r="E34" s="669"/>
      <c r="F34" s="669"/>
      <c r="G34" s="669"/>
      <c r="H34" s="669"/>
      <c r="I34" s="67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672"/>
      <c r="B35" s="669"/>
      <c r="C35" s="669"/>
      <c r="D35" s="669"/>
      <c r="E35" s="669"/>
      <c r="F35" s="669"/>
      <c r="G35" s="669"/>
      <c r="H35" s="669"/>
      <c r="I35" s="67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25"/>
      <c r="B36" s="8"/>
      <c r="C36" s="8"/>
      <c r="D36" s="8"/>
      <c r="E36" s="8"/>
      <c r="F36" s="8"/>
      <c r="G36" s="8"/>
      <c r="H36" s="8"/>
      <c r="I36" s="2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25"/>
      <c r="B37" s="8"/>
      <c r="C37" s="8"/>
      <c r="D37" s="8"/>
      <c r="E37" s="8"/>
      <c r="F37" s="8"/>
      <c r="G37" s="8"/>
      <c r="H37" s="8"/>
      <c r="I37" s="2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58"/>
      <c r="B38" s="59"/>
      <c r="C38" s="59"/>
      <c r="D38" s="59"/>
      <c r="E38" s="59"/>
      <c r="F38" s="59"/>
      <c r="G38" s="59"/>
      <c r="H38" s="59"/>
      <c r="I38" s="6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7">
    <mergeCell ref="A21:I21"/>
    <mergeCell ref="A19:I19"/>
    <mergeCell ref="A35:I35"/>
    <mergeCell ref="A25:I26"/>
    <mergeCell ref="A23:I23"/>
    <mergeCell ref="A33:I33"/>
    <mergeCell ref="A34:I3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2" sqref="A2:E39"/>
    </sheetView>
  </sheetViews>
  <sheetFormatPr defaultColWidth="14.42578125" defaultRowHeight="15" customHeight="1"/>
  <cols>
    <col min="1" max="1" width="5.7109375" customWidth="1"/>
    <col min="2" max="2" width="60.7109375" customWidth="1"/>
    <col min="3" max="3" width="5.7109375" customWidth="1"/>
    <col min="4" max="4" width="10.7109375" customWidth="1"/>
    <col min="5" max="5" width="3.28515625" customWidth="1"/>
    <col min="6" max="6" width="9.140625" customWidth="1"/>
    <col min="7" max="26" width="8" customWidth="1"/>
  </cols>
  <sheetData>
    <row r="1" spans="1:26" ht="60" customHeight="1">
      <c r="A1" s="16"/>
      <c r="B1" s="17"/>
      <c r="C1" s="19"/>
      <c r="D1" s="19"/>
      <c r="E1" s="20"/>
      <c r="F1" s="2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681" t="s">
        <v>0</v>
      </c>
      <c r="B2" s="682"/>
      <c r="C2" s="682"/>
      <c r="D2" s="682"/>
      <c r="E2" s="683"/>
      <c r="F2" s="2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689" t="e">
        <f>#REF!</f>
        <v>#REF!</v>
      </c>
      <c r="B3" s="678"/>
      <c r="C3" s="678"/>
      <c r="D3" s="678"/>
      <c r="E3" s="690"/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684"/>
      <c r="B4" s="685"/>
      <c r="C4" s="685"/>
      <c r="D4" s="685"/>
      <c r="E4" s="686"/>
      <c r="F4" s="2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>
      <c r="A5" s="24"/>
      <c r="B5" s="26" t="s">
        <v>1</v>
      </c>
      <c r="C5" s="28"/>
      <c r="D5" s="687" t="s">
        <v>2</v>
      </c>
      <c r="E5" s="688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>
      <c r="A6" s="34">
        <v>1</v>
      </c>
      <c r="B6" s="35" t="s">
        <v>4</v>
      </c>
      <c r="C6" s="36" t="s">
        <v>5</v>
      </c>
      <c r="D6" s="37">
        <f>(1+(D7/100)*(1+(D8/100)*(1+(D9/100)*(1+(D10/100)))))</f>
        <v>1</v>
      </c>
      <c r="E6" s="38"/>
      <c r="F6" s="2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39" t="s">
        <v>6</v>
      </c>
      <c r="B7" s="40" t="s">
        <v>7</v>
      </c>
      <c r="C7" s="41" t="s">
        <v>8</v>
      </c>
      <c r="D7" s="42"/>
      <c r="E7" s="43" t="s">
        <v>9</v>
      </c>
      <c r="F7" s="23"/>
      <c r="G7" s="3"/>
      <c r="H7" s="3"/>
      <c r="I7" s="3">
        <v>3.95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9" t="s">
        <v>10</v>
      </c>
      <c r="B8" s="40" t="s">
        <v>11</v>
      </c>
      <c r="C8" s="41" t="s">
        <v>13</v>
      </c>
      <c r="D8" s="42"/>
      <c r="E8" s="43" t="s">
        <v>9</v>
      </c>
      <c r="F8" s="23"/>
      <c r="G8" s="3"/>
      <c r="H8" s="3"/>
      <c r="I8" s="3">
        <v>1.2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9" t="s">
        <v>14</v>
      </c>
      <c r="B9" s="40" t="s">
        <v>15</v>
      </c>
      <c r="C9" s="41" t="s">
        <v>16</v>
      </c>
      <c r="D9" s="42"/>
      <c r="E9" s="43" t="s">
        <v>9</v>
      </c>
      <c r="F9" s="23"/>
      <c r="G9" s="3"/>
      <c r="H9" s="3"/>
      <c r="I9" s="3">
        <v>1.6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39">
        <v>1.5</v>
      </c>
      <c r="B10" s="49" t="s">
        <v>17</v>
      </c>
      <c r="C10" s="41" t="s">
        <v>18</v>
      </c>
      <c r="D10" s="42"/>
      <c r="E10" s="43" t="s">
        <v>9</v>
      </c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4">
        <v>2</v>
      </c>
      <c r="B11" s="35" t="s">
        <v>19</v>
      </c>
      <c r="C11" s="36" t="s">
        <v>20</v>
      </c>
      <c r="D11" s="51">
        <f>D12+D13+D14+D15</f>
        <v>0</v>
      </c>
      <c r="E11" s="52" t="s">
        <v>9</v>
      </c>
      <c r="F11" s="2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9" t="s">
        <v>21</v>
      </c>
      <c r="B12" s="49" t="s">
        <v>22</v>
      </c>
      <c r="C12" s="41" t="s">
        <v>23</v>
      </c>
      <c r="D12" s="42"/>
      <c r="E12" s="43" t="s">
        <v>9</v>
      </c>
      <c r="F12" s="2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9" t="s">
        <v>24</v>
      </c>
      <c r="B13" s="49" t="s">
        <v>25</v>
      </c>
      <c r="C13" s="41" t="s">
        <v>26</v>
      </c>
      <c r="D13" s="42"/>
      <c r="E13" s="43" t="s">
        <v>9</v>
      </c>
      <c r="F13" s="2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9" t="s">
        <v>27</v>
      </c>
      <c r="B14" s="49" t="s">
        <v>28</v>
      </c>
      <c r="C14" s="41" t="s">
        <v>29</v>
      </c>
      <c r="D14" s="42"/>
      <c r="E14" s="43" t="s">
        <v>9</v>
      </c>
      <c r="F14" s="2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9" t="s">
        <v>31</v>
      </c>
      <c r="B15" s="49" t="s">
        <v>32</v>
      </c>
      <c r="C15" s="41" t="s">
        <v>33</v>
      </c>
      <c r="D15" s="42">
        <v>0</v>
      </c>
      <c r="E15" s="43" t="s">
        <v>9</v>
      </c>
      <c r="F15" s="2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55"/>
      <c r="B16" s="56" t="s">
        <v>35</v>
      </c>
      <c r="C16" s="57"/>
      <c r="D16" s="60">
        <f>ROUND(((((1+(D7/100))*(1+(D8/100))*(1+(D9/100))*(1+(D10/100)))/((1-(D11/100)))-1)*100),2)</f>
        <v>0</v>
      </c>
      <c r="E16" s="62" t="s">
        <v>9</v>
      </c>
      <c r="F16" s="6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>
      <c r="A17" s="64"/>
      <c r="B17" s="14"/>
      <c r="C17" s="15"/>
      <c r="D17" s="15"/>
      <c r="E17" s="15"/>
      <c r="F17" s="6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>
      <c r="A18" s="64"/>
      <c r="B18" s="14"/>
      <c r="C18" s="15"/>
      <c r="D18" s="15"/>
      <c r="E18" s="15"/>
      <c r="F18" s="63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>
      <c r="A19" s="64"/>
      <c r="B19" s="14"/>
      <c r="C19" s="15"/>
      <c r="D19" s="15"/>
      <c r="E19" s="15"/>
      <c r="F19" s="6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64"/>
      <c r="B20" s="14"/>
      <c r="C20" s="15"/>
      <c r="D20" s="15"/>
      <c r="E20" s="15"/>
      <c r="F20" s="6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64"/>
      <c r="B21" s="14"/>
      <c r="C21" s="15"/>
      <c r="D21" s="15"/>
      <c r="E21" s="15"/>
      <c r="F21" s="6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>
      <c r="A22" s="64"/>
      <c r="B22" s="14"/>
      <c r="C22" s="15"/>
      <c r="D22" s="15"/>
      <c r="E22" s="15"/>
      <c r="F22" s="6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>
      <c r="A23" s="64"/>
      <c r="B23" s="14"/>
      <c r="C23" s="15"/>
      <c r="D23" s="15"/>
      <c r="E23" s="15"/>
      <c r="F23" s="6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>
      <c r="A24" s="64"/>
      <c r="B24" s="14"/>
      <c r="C24" s="15"/>
      <c r="D24" s="15"/>
      <c r="E24" s="15"/>
      <c r="F24" s="6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>
      <c r="A25" s="64"/>
      <c r="B25" s="14"/>
      <c r="C25" s="15"/>
      <c r="D25" s="15"/>
      <c r="E25" s="15"/>
      <c r="F25" s="6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>
      <c r="A26" s="64"/>
      <c r="B26" s="14"/>
      <c r="C26" s="15"/>
      <c r="D26" s="15"/>
      <c r="E26" s="15"/>
      <c r="F26" s="6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>
      <c r="A27" s="64"/>
      <c r="B27" s="14"/>
      <c r="C27" s="15"/>
      <c r="D27" s="15"/>
      <c r="E27" s="15"/>
      <c r="F27" s="63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7" customHeight="1">
      <c r="A28" s="65"/>
      <c r="B28" s="691" t="s">
        <v>36</v>
      </c>
      <c r="C28" s="669"/>
      <c r="D28" s="669"/>
      <c r="E28" s="669"/>
      <c r="F28" s="6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67"/>
      <c r="B29" s="680" t="s">
        <v>37</v>
      </c>
      <c r="C29" s="669"/>
      <c r="D29" s="669"/>
      <c r="E29" s="669"/>
      <c r="F29" s="6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76.5" customHeight="1">
      <c r="A30" s="67"/>
      <c r="B30" s="680" t="s">
        <v>38</v>
      </c>
      <c r="C30" s="669"/>
      <c r="D30" s="669"/>
      <c r="E30" s="669"/>
      <c r="F30" s="2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0"/>
      <c r="B31" s="31"/>
      <c r="C31" s="31"/>
      <c r="D31" s="31"/>
      <c r="E31" s="31"/>
      <c r="F31" s="2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0"/>
      <c r="B32" s="31"/>
      <c r="C32" s="31"/>
      <c r="D32" s="31"/>
      <c r="E32" s="31"/>
      <c r="F32" s="2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0"/>
      <c r="B33" s="31"/>
      <c r="C33" s="31"/>
      <c r="D33" s="31"/>
      <c r="E33" s="31"/>
      <c r="F33" s="2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0"/>
      <c r="B34" s="14"/>
      <c r="C34" s="71"/>
      <c r="D34" s="71"/>
      <c r="E34" s="18"/>
      <c r="F34" s="2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70"/>
      <c r="B35" s="3"/>
      <c r="C35" s="6"/>
      <c r="D35" s="6"/>
      <c r="E35" s="7"/>
      <c r="F35" s="2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70"/>
      <c r="B36" s="3"/>
      <c r="C36" s="6"/>
      <c r="D36" s="6"/>
      <c r="E36" s="7"/>
      <c r="F36" s="2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70"/>
      <c r="B37" s="3"/>
      <c r="C37" s="6"/>
      <c r="D37" s="6"/>
      <c r="E37" s="7"/>
      <c r="F37" s="2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70"/>
      <c r="B38" s="679" t="s">
        <v>39</v>
      </c>
      <c r="C38" s="669"/>
      <c r="D38" s="669"/>
      <c r="E38" s="669"/>
      <c r="F38" s="2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70"/>
      <c r="B39" s="676"/>
      <c r="C39" s="669"/>
      <c r="D39" s="669"/>
      <c r="E39" s="669"/>
      <c r="F39" s="2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70"/>
      <c r="B40" s="676"/>
      <c r="C40" s="669"/>
      <c r="D40" s="669"/>
      <c r="E40" s="669"/>
      <c r="F40" s="2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72"/>
      <c r="B41" s="677"/>
      <c r="C41" s="678"/>
      <c r="D41" s="678"/>
      <c r="E41" s="678"/>
      <c r="F41" s="7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"/>
      <c r="B42" s="3"/>
      <c r="C42" s="6"/>
      <c r="D42" s="6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"/>
      <c r="B43" s="3"/>
      <c r="C43" s="6"/>
      <c r="D43" s="6"/>
      <c r="E43" s="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"/>
      <c r="B44" s="3"/>
      <c r="C44" s="6"/>
      <c r="D44" s="6"/>
      <c r="E44" s="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"/>
      <c r="B45" s="3"/>
      <c r="C45" s="6"/>
      <c r="D45" s="6"/>
      <c r="E45" s="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"/>
      <c r="B46" s="3"/>
      <c r="C46" s="6"/>
      <c r="D46" s="6"/>
      <c r="E46" s="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"/>
      <c r="B47" s="3"/>
      <c r="C47" s="6"/>
      <c r="D47" s="6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"/>
      <c r="B48" s="3"/>
      <c r="C48" s="6"/>
      <c r="D48" s="6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"/>
      <c r="B49" s="3"/>
      <c r="C49" s="6"/>
      <c r="D49" s="6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"/>
      <c r="B50" s="3"/>
      <c r="C50" s="6"/>
      <c r="D50" s="6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"/>
      <c r="B51" s="3"/>
      <c r="C51" s="6"/>
      <c r="D51" s="6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"/>
      <c r="B52" s="3"/>
      <c r="C52" s="6"/>
      <c r="D52" s="6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"/>
      <c r="B53" s="3"/>
      <c r="C53" s="6"/>
      <c r="D53" s="6"/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"/>
      <c r="B54" s="3"/>
      <c r="C54" s="6"/>
      <c r="D54" s="6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"/>
      <c r="B55" s="3"/>
      <c r="C55" s="6"/>
      <c r="D55" s="6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"/>
      <c r="B56" s="3"/>
      <c r="C56" s="6"/>
      <c r="D56" s="6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"/>
      <c r="B57" s="3"/>
      <c r="C57" s="6"/>
      <c r="D57" s="6"/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"/>
      <c r="B58" s="3"/>
      <c r="C58" s="6"/>
      <c r="D58" s="6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"/>
      <c r="B59" s="3"/>
      <c r="C59" s="6"/>
      <c r="D59" s="6"/>
      <c r="E59" s="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"/>
      <c r="B60" s="3"/>
      <c r="C60" s="6"/>
      <c r="D60" s="6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"/>
      <c r="B61" s="3"/>
      <c r="C61" s="6"/>
      <c r="D61" s="6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"/>
      <c r="B62" s="3"/>
      <c r="C62" s="6"/>
      <c r="D62" s="6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"/>
      <c r="B63" s="3"/>
      <c r="C63" s="6"/>
      <c r="D63" s="6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"/>
      <c r="B64" s="3"/>
      <c r="C64" s="6"/>
      <c r="D64" s="6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"/>
      <c r="B65" s="3"/>
      <c r="C65" s="6"/>
      <c r="D65" s="6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"/>
      <c r="B66" s="3"/>
      <c r="C66" s="6"/>
      <c r="D66" s="6"/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"/>
      <c r="B67" s="3"/>
      <c r="C67" s="6"/>
      <c r="D67" s="6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"/>
      <c r="B68" s="3"/>
      <c r="C68" s="6"/>
      <c r="D68" s="6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"/>
      <c r="B69" s="3"/>
      <c r="C69" s="6"/>
      <c r="D69" s="6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"/>
      <c r="B70" s="3"/>
      <c r="C70" s="6"/>
      <c r="D70" s="6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"/>
      <c r="B71" s="3"/>
      <c r="C71" s="6"/>
      <c r="D71" s="6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"/>
      <c r="B72" s="3"/>
      <c r="C72" s="6"/>
      <c r="D72" s="6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"/>
      <c r="B73" s="3"/>
      <c r="C73" s="6"/>
      <c r="D73" s="6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"/>
      <c r="B74" s="3"/>
      <c r="C74" s="6"/>
      <c r="D74" s="6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"/>
      <c r="B75" s="3"/>
      <c r="C75" s="6"/>
      <c r="D75" s="6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"/>
      <c r="B76" s="3"/>
      <c r="C76" s="6"/>
      <c r="D76" s="6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"/>
      <c r="B77" s="3"/>
      <c r="C77" s="6"/>
      <c r="D77" s="6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"/>
      <c r="B78" s="3"/>
      <c r="C78" s="6"/>
      <c r="D78" s="6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"/>
      <c r="B79" s="3"/>
      <c r="C79" s="6"/>
      <c r="D79" s="6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"/>
      <c r="B80" s="3"/>
      <c r="C80" s="6"/>
      <c r="D80" s="6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"/>
      <c r="B81" s="3"/>
      <c r="C81" s="6"/>
      <c r="D81" s="6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"/>
      <c r="B82" s="3"/>
      <c r="C82" s="6"/>
      <c r="D82" s="6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"/>
      <c r="B83" s="3"/>
      <c r="C83" s="6"/>
      <c r="D83" s="6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"/>
      <c r="B84" s="3"/>
      <c r="C84" s="6"/>
      <c r="D84" s="6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"/>
      <c r="B85" s="3"/>
      <c r="C85" s="6"/>
      <c r="D85" s="6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"/>
      <c r="B86" s="3"/>
      <c r="C86" s="6"/>
      <c r="D86" s="6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"/>
      <c r="B87" s="3"/>
      <c r="C87" s="6"/>
      <c r="D87" s="6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"/>
      <c r="B88" s="3"/>
      <c r="C88" s="6"/>
      <c r="D88" s="6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"/>
      <c r="B89" s="3"/>
      <c r="C89" s="6"/>
      <c r="D89" s="6"/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"/>
      <c r="B90" s="3"/>
      <c r="C90" s="6"/>
      <c r="D90" s="6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"/>
      <c r="B91" s="3"/>
      <c r="C91" s="6"/>
      <c r="D91" s="6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"/>
      <c r="B92" s="3"/>
      <c r="C92" s="6"/>
      <c r="D92" s="6"/>
      <c r="E92" s="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"/>
      <c r="B93" s="3"/>
      <c r="C93" s="6"/>
      <c r="D93" s="6"/>
      <c r="E93" s="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"/>
      <c r="B94" s="3"/>
      <c r="C94" s="6"/>
      <c r="D94" s="6"/>
      <c r="E94" s="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"/>
      <c r="B95" s="3"/>
      <c r="C95" s="6"/>
      <c r="D95" s="6"/>
      <c r="E95" s="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"/>
      <c r="B96" s="3"/>
      <c r="C96" s="6"/>
      <c r="D96" s="6"/>
      <c r="E96" s="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"/>
      <c r="B97" s="3"/>
      <c r="C97" s="6"/>
      <c r="D97" s="6"/>
      <c r="E97" s="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"/>
      <c r="B98" s="3"/>
      <c r="C98" s="6"/>
      <c r="D98" s="6"/>
      <c r="E98" s="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"/>
      <c r="B99" s="3"/>
      <c r="C99" s="6"/>
      <c r="D99" s="6"/>
      <c r="E99" s="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"/>
      <c r="B100" s="3"/>
      <c r="C100" s="6"/>
      <c r="D100" s="6"/>
      <c r="E100" s="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"/>
      <c r="B101" s="3"/>
      <c r="C101" s="6"/>
      <c r="D101" s="6"/>
      <c r="E101" s="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"/>
      <c r="B102" s="3"/>
      <c r="C102" s="6"/>
      <c r="D102" s="6"/>
      <c r="E102" s="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"/>
      <c r="B103" s="3"/>
      <c r="C103" s="6"/>
      <c r="D103" s="6"/>
      <c r="E103" s="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"/>
      <c r="B104" s="3"/>
      <c r="C104" s="6"/>
      <c r="D104" s="6"/>
      <c r="E104" s="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"/>
      <c r="B105" s="3"/>
      <c r="C105" s="6"/>
      <c r="D105" s="6"/>
      <c r="E105" s="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"/>
      <c r="B106" s="3"/>
      <c r="C106" s="6"/>
      <c r="D106" s="6"/>
      <c r="E106" s="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"/>
      <c r="B107" s="3"/>
      <c r="C107" s="6"/>
      <c r="D107" s="6"/>
      <c r="E107" s="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"/>
      <c r="B108" s="3"/>
      <c r="C108" s="6"/>
      <c r="D108" s="6"/>
      <c r="E108" s="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"/>
      <c r="B109" s="3"/>
      <c r="C109" s="6"/>
      <c r="D109" s="6"/>
      <c r="E109" s="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"/>
      <c r="B110" s="3"/>
      <c r="C110" s="6"/>
      <c r="D110" s="6"/>
      <c r="E110" s="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"/>
      <c r="B111" s="3"/>
      <c r="C111" s="6"/>
      <c r="D111" s="6"/>
      <c r="E111" s="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"/>
      <c r="B112" s="3"/>
      <c r="C112" s="6"/>
      <c r="D112" s="6"/>
      <c r="E112" s="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"/>
      <c r="B113" s="3"/>
      <c r="C113" s="6"/>
      <c r="D113" s="6"/>
      <c r="E113" s="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"/>
      <c r="B114" s="3"/>
      <c r="C114" s="6"/>
      <c r="D114" s="6"/>
      <c r="E114" s="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"/>
      <c r="B115" s="3"/>
      <c r="C115" s="6"/>
      <c r="D115" s="6"/>
      <c r="E115" s="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"/>
      <c r="B116" s="3"/>
      <c r="C116" s="6"/>
      <c r="D116" s="6"/>
      <c r="E116" s="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"/>
      <c r="B117" s="3"/>
      <c r="C117" s="6"/>
      <c r="D117" s="6"/>
      <c r="E117" s="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"/>
      <c r="B118" s="3"/>
      <c r="C118" s="6"/>
      <c r="D118" s="6"/>
      <c r="E118" s="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"/>
      <c r="B119" s="3"/>
      <c r="C119" s="6"/>
      <c r="D119" s="6"/>
      <c r="E119" s="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"/>
      <c r="B120" s="3"/>
      <c r="C120" s="6"/>
      <c r="D120" s="6"/>
      <c r="E120" s="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"/>
      <c r="B121" s="3"/>
      <c r="C121" s="6"/>
      <c r="D121" s="6"/>
      <c r="E121" s="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"/>
      <c r="B122" s="3"/>
      <c r="C122" s="6"/>
      <c r="D122" s="6"/>
      <c r="E122" s="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"/>
      <c r="B123" s="3"/>
      <c r="C123" s="6"/>
      <c r="D123" s="6"/>
      <c r="E123" s="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"/>
      <c r="B124" s="3"/>
      <c r="C124" s="6"/>
      <c r="D124" s="6"/>
      <c r="E124" s="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"/>
      <c r="B125" s="3"/>
      <c r="C125" s="6"/>
      <c r="D125" s="6"/>
      <c r="E125" s="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"/>
      <c r="B126" s="3"/>
      <c r="C126" s="6"/>
      <c r="D126" s="6"/>
      <c r="E126" s="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"/>
      <c r="B127" s="3"/>
      <c r="C127" s="6"/>
      <c r="D127" s="6"/>
      <c r="E127" s="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"/>
      <c r="B128" s="3"/>
      <c r="C128" s="6"/>
      <c r="D128" s="6"/>
      <c r="E128" s="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"/>
      <c r="B129" s="3"/>
      <c r="C129" s="6"/>
      <c r="D129" s="6"/>
      <c r="E129" s="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"/>
      <c r="B130" s="3"/>
      <c r="C130" s="6"/>
      <c r="D130" s="6"/>
      <c r="E130" s="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"/>
      <c r="B131" s="3"/>
      <c r="C131" s="6"/>
      <c r="D131" s="6"/>
      <c r="E131" s="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"/>
      <c r="B132" s="3"/>
      <c r="C132" s="6"/>
      <c r="D132" s="6"/>
      <c r="E132" s="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"/>
      <c r="B133" s="3"/>
      <c r="C133" s="6"/>
      <c r="D133" s="6"/>
      <c r="E133" s="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"/>
      <c r="B134" s="3"/>
      <c r="C134" s="6"/>
      <c r="D134" s="6"/>
      <c r="E134" s="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"/>
      <c r="B135" s="3"/>
      <c r="C135" s="6"/>
      <c r="D135" s="6"/>
      <c r="E135" s="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"/>
      <c r="B136" s="3"/>
      <c r="C136" s="6"/>
      <c r="D136" s="6"/>
      <c r="E136" s="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"/>
      <c r="B137" s="3"/>
      <c r="C137" s="6"/>
      <c r="D137" s="6"/>
      <c r="E137" s="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"/>
      <c r="B138" s="3"/>
      <c r="C138" s="6"/>
      <c r="D138" s="6"/>
      <c r="E138" s="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"/>
      <c r="B139" s="3"/>
      <c r="C139" s="6"/>
      <c r="D139" s="6"/>
      <c r="E139" s="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"/>
      <c r="B140" s="3"/>
      <c r="C140" s="6"/>
      <c r="D140" s="6"/>
      <c r="E140" s="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"/>
      <c r="B141" s="3"/>
      <c r="C141" s="6"/>
      <c r="D141" s="6"/>
      <c r="E141" s="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"/>
      <c r="B142" s="3"/>
      <c r="C142" s="6"/>
      <c r="D142" s="6"/>
      <c r="E142" s="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"/>
      <c r="B143" s="3"/>
      <c r="C143" s="6"/>
      <c r="D143" s="6"/>
      <c r="E143" s="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"/>
      <c r="B144" s="3"/>
      <c r="C144" s="6"/>
      <c r="D144" s="6"/>
      <c r="E144" s="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"/>
      <c r="B145" s="3"/>
      <c r="C145" s="6"/>
      <c r="D145" s="6"/>
      <c r="E145" s="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"/>
      <c r="B146" s="3"/>
      <c r="C146" s="6"/>
      <c r="D146" s="6"/>
      <c r="E146" s="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"/>
      <c r="B147" s="3"/>
      <c r="C147" s="6"/>
      <c r="D147" s="6"/>
      <c r="E147" s="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"/>
      <c r="B148" s="3"/>
      <c r="C148" s="6"/>
      <c r="D148" s="6"/>
      <c r="E148" s="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"/>
      <c r="B149" s="3"/>
      <c r="C149" s="6"/>
      <c r="D149" s="6"/>
      <c r="E149" s="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"/>
      <c r="B150" s="3"/>
      <c r="C150" s="6"/>
      <c r="D150" s="6"/>
      <c r="E150" s="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"/>
      <c r="B151" s="3"/>
      <c r="C151" s="6"/>
      <c r="D151" s="6"/>
      <c r="E151" s="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"/>
      <c r="B152" s="3"/>
      <c r="C152" s="6"/>
      <c r="D152" s="6"/>
      <c r="E152" s="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"/>
      <c r="B153" s="3"/>
      <c r="C153" s="6"/>
      <c r="D153" s="6"/>
      <c r="E153" s="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"/>
      <c r="B154" s="3"/>
      <c r="C154" s="6"/>
      <c r="D154" s="6"/>
      <c r="E154" s="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"/>
      <c r="B155" s="3"/>
      <c r="C155" s="6"/>
      <c r="D155" s="6"/>
      <c r="E155" s="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"/>
      <c r="B156" s="3"/>
      <c r="C156" s="6"/>
      <c r="D156" s="6"/>
      <c r="E156" s="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"/>
      <c r="B157" s="3"/>
      <c r="C157" s="6"/>
      <c r="D157" s="6"/>
      <c r="E157" s="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"/>
      <c r="B158" s="3"/>
      <c r="C158" s="6"/>
      <c r="D158" s="6"/>
      <c r="E158" s="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"/>
      <c r="B159" s="3"/>
      <c r="C159" s="6"/>
      <c r="D159" s="6"/>
      <c r="E159" s="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"/>
      <c r="B160" s="3"/>
      <c r="C160" s="6"/>
      <c r="D160" s="6"/>
      <c r="E160" s="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"/>
      <c r="B161" s="3"/>
      <c r="C161" s="6"/>
      <c r="D161" s="6"/>
      <c r="E161" s="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"/>
      <c r="B162" s="3"/>
      <c r="C162" s="6"/>
      <c r="D162" s="6"/>
      <c r="E162" s="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"/>
      <c r="B163" s="3"/>
      <c r="C163" s="6"/>
      <c r="D163" s="6"/>
      <c r="E163" s="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"/>
      <c r="B164" s="3"/>
      <c r="C164" s="6"/>
      <c r="D164" s="6"/>
      <c r="E164" s="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"/>
      <c r="B165" s="3"/>
      <c r="C165" s="6"/>
      <c r="D165" s="6"/>
      <c r="E165" s="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"/>
      <c r="B166" s="3"/>
      <c r="C166" s="6"/>
      <c r="D166" s="6"/>
      <c r="E166" s="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"/>
      <c r="B167" s="3"/>
      <c r="C167" s="6"/>
      <c r="D167" s="6"/>
      <c r="E167" s="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"/>
      <c r="B168" s="3"/>
      <c r="C168" s="6"/>
      <c r="D168" s="6"/>
      <c r="E168" s="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"/>
      <c r="B169" s="3"/>
      <c r="C169" s="6"/>
      <c r="D169" s="6"/>
      <c r="E169" s="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"/>
      <c r="B170" s="3"/>
      <c r="C170" s="6"/>
      <c r="D170" s="6"/>
      <c r="E170" s="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"/>
      <c r="B171" s="3"/>
      <c r="C171" s="6"/>
      <c r="D171" s="6"/>
      <c r="E171" s="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"/>
      <c r="B172" s="3"/>
      <c r="C172" s="6"/>
      <c r="D172" s="6"/>
      <c r="E172" s="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"/>
      <c r="B173" s="3"/>
      <c r="C173" s="6"/>
      <c r="D173" s="6"/>
      <c r="E173" s="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"/>
      <c r="B174" s="3"/>
      <c r="C174" s="6"/>
      <c r="D174" s="6"/>
      <c r="E174" s="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"/>
      <c r="B175" s="3"/>
      <c r="C175" s="6"/>
      <c r="D175" s="6"/>
      <c r="E175" s="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"/>
      <c r="B176" s="3"/>
      <c r="C176" s="6"/>
      <c r="D176" s="6"/>
      <c r="E176" s="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"/>
      <c r="B177" s="3"/>
      <c r="C177" s="6"/>
      <c r="D177" s="6"/>
      <c r="E177" s="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"/>
      <c r="B178" s="3"/>
      <c r="C178" s="6"/>
      <c r="D178" s="6"/>
      <c r="E178" s="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"/>
      <c r="B179" s="3"/>
      <c r="C179" s="6"/>
      <c r="D179" s="6"/>
      <c r="E179" s="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"/>
      <c r="B180" s="3"/>
      <c r="C180" s="6"/>
      <c r="D180" s="6"/>
      <c r="E180" s="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"/>
      <c r="B181" s="3"/>
      <c r="C181" s="6"/>
      <c r="D181" s="6"/>
      <c r="E181" s="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"/>
      <c r="B182" s="3"/>
      <c r="C182" s="6"/>
      <c r="D182" s="6"/>
      <c r="E182" s="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"/>
      <c r="B183" s="3"/>
      <c r="C183" s="6"/>
      <c r="D183" s="6"/>
      <c r="E183" s="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"/>
      <c r="B184" s="3"/>
      <c r="C184" s="6"/>
      <c r="D184" s="6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"/>
      <c r="B185" s="3"/>
      <c r="C185" s="6"/>
      <c r="D185" s="6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"/>
      <c r="B186" s="3"/>
      <c r="C186" s="6"/>
      <c r="D186" s="6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"/>
      <c r="B187" s="3"/>
      <c r="C187" s="6"/>
      <c r="D187" s="6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"/>
      <c r="B188" s="3"/>
      <c r="C188" s="6"/>
      <c r="D188" s="6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"/>
      <c r="B189" s="3"/>
      <c r="C189" s="6"/>
      <c r="D189" s="6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"/>
      <c r="B190" s="3"/>
      <c r="C190" s="6"/>
      <c r="D190" s="6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"/>
      <c r="B191" s="3"/>
      <c r="C191" s="6"/>
      <c r="D191" s="6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"/>
      <c r="B192" s="3"/>
      <c r="C192" s="6"/>
      <c r="D192" s="6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"/>
      <c r="B193" s="3"/>
      <c r="C193" s="6"/>
      <c r="D193" s="6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"/>
      <c r="B194" s="3"/>
      <c r="C194" s="6"/>
      <c r="D194" s="6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"/>
      <c r="B195" s="3"/>
      <c r="C195" s="6"/>
      <c r="D195" s="6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"/>
      <c r="B196" s="3"/>
      <c r="C196" s="6"/>
      <c r="D196" s="6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"/>
      <c r="B197" s="3"/>
      <c r="C197" s="6"/>
      <c r="D197" s="6"/>
      <c r="E197" s="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"/>
      <c r="B198" s="3"/>
      <c r="C198" s="6"/>
      <c r="D198" s="6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"/>
      <c r="B199" s="3"/>
      <c r="C199" s="6"/>
      <c r="D199" s="6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"/>
      <c r="B200" s="3"/>
      <c r="C200" s="6"/>
      <c r="D200" s="6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"/>
      <c r="B201" s="3"/>
      <c r="C201" s="6"/>
      <c r="D201" s="6"/>
      <c r="E201" s="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"/>
      <c r="B202" s="3"/>
      <c r="C202" s="6"/>
      <c r="D202" s="6"/>
      <c r="E202" s="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"/>
      <c r="B203" s="3"/>
      <c r="C203" s="6"/>
      <c r="D203" s="6"/>
      <c r="E203" s="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"/>
      <c r="B204" s="3"/>
      <c r="C204" s="6"/>
      <c r="D204" s="6"/>
      <c r="E204" s="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"/>
      <c r="B205" s="3"/>
      <c r="C205" s="6"/>
      <c r="D205" s="6"/>
      <c r="E205" s="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"/>
      <c r="B206" s="3"/>
      <c r="C206" s="6"/>
      <c r="D206" s="6"/>
      <c r="E206" s="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"/>
      <c r="B207" s="3"/>
      <c r="C207" s="6"/>
      <c r="D207" s="6"/>
      <c r="E207" s="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"/>
      <c r="B208" s="3"/>
      <c r="C208" s="6"/>
      <c r="D208" s="6"/>
      <c r="E208" s="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"/>
      <c r="B209" s="3"/>
      <c r="C209" s="6"/>
      <c r="D209" s="6"/>
      <c r="E209" s="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"/>
      <c r="B210" s="3"/>
      <c r="C210" s="6"/>
      <c r="D210" s="6"/>
      <c r="E210" s="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"/>
      <c r="B211" s="3"/>
      <c r="C211" s="6"/>
      <c r="D211" s="6"/>
      <c r="E211" s="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"/>
      <c r="B212" s="3"/>
      <c r="C212" s="6"/>
      <c r="D212" s="6"/>
      <c r="E212" s="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"/>
      <c r="B213" s="3"/>
      <c r="C213" s="6"/>
      <c r="D213" s="6"/>
      <c r="E213" s="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"/>
      <c r="B214" s="3"/>
      <c r="C214" s="6"/>
      <c r="D214" s="6"/>
      <c r="E214" s="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"/>
      <c r="B215" s="3"/>
      <c r="C215" s="6"/>
      <c r="D215" s="6"/>
      <c r="E215" s="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"/>
      <c r="B216" s="3"/>
      <c r="C216" s="6"/>
      <c r="D216" s="6"/>
      <c r="E216" s="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"/>
      <c r="B217" s="3"/>
      <c r="C217" s="6"/>
      <c r="D217" s="6"/>
      <c r="E217" s="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"/>
      <c r="B218" s="3"/>
      <c r="C218" s="6"/>
      <c r="D218" s="6"/>
      <c r="E218" s="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"/>
      <c r="B219" s="3"/>
      <c r="C219" s="6"/>
      <c r="D219" s="6"/>
      <c r="E219" s="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"/>
      <c r="B220" s="3"/>
      <c r="C220" s="6"/>
      <c r="D220" s="6"/>
      <c r="E220" s="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"/>
      <c r="B221" s="3"/>
      <c r="C221" s="6"/>
      <c r="D221" s="6"/>
      <c r="E221" s="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"/>
      <c r="B222" s="3"/>
      <c r="C222" s="6"/>
      <c r="D222" s="6"/>
      <c r="E222" s="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"/>
      <c r="B223" s="3"/>
      <c r="C223" s="6"/>
      <c r="D223" s="6"/>
      <c r="E223" s="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"/>
      <c r="B224" s="3"/>
      <c r="C224" s="6"/>
      <c r="D224" s="6"/>
      <c r="E224" s="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"/>
      <c r="B225" s="3"/>
      <c r="C225" s="6"/>
      <c r="D225" s="6"/>
      <c r="E225" s="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"/>
      <c r="B226" s="3"/>
      <c r="C226" s="6"/>
      <c r="D226" s="6"/>
      <c r="E226" s="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"/>
      <c r="B227" s="3"/>
      <c r="C227" s="6"/>
      <c r="D227" s="6"/>
      <c r="E227" s="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"/>
      <c r="B228" s="3"/>
      <c r="C228" s="6"/>
      <c r="D228" s="6"/>
      <c r="E228" s="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"/>
      <c r="B229" s="3"/>
      <c r="C229" s="6"/>
      <c r="D229" s="6"/>
      <c r="E229" s="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"/>
      <c r="B230" s="3"/>
      <c r="C230" s="6"/>
      <c r="D230" s="6"/>
      <c r="E230" s="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"/>
      <c r="B231" s="3"/>
      <c r="C231" s="6"/>
      <c r="D231" s="6"/>
      <c r="E231" s="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"/>
      <c r="B232" s="3"/>
      <c r="C232" s="6"/>
      <c r="D232" s="6"/>
      <c r="E232" s="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"/>
      <c r="B233" s="3"/>
      <c r="C233" s="6"/>
      <c r="D233" s="6"/>
      <c r="E233" s="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"/>
      <c r="B234" s="3"/>
      <c r="C234" s="6"/>
      <c r="D234" s="6"/>
      <c r="E234" s="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"/>
      <c r="B235" s="3"/>
      <c r="C235" s="6"/>
      <c r="D235" s="6"/>
      <c r="E235" s="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"/>
      <c r="B236" s="3"/>
      <c r="C236" s="6"/>
      <c r="D236" s="6"/>
      <c r="E236" s="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"/>
      <c r="B237" s="3"/>
      <c r="C237" s="6"/>
      <c r="D237" s="6"/>
      <c r="E237" s="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"/>
      <c r="B238" s="3"/>
      <c r="C238" s="6"/>
      <c r="D238" s="6"/>
      <c r="E238" s="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"/>
      <c r="B239" s="3"/>
      <c r="C239" s="6"/>
      <c r="D239" s="6"/>
      <c r="E239" s="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"/>
      <c r="B240" s="3"/>
      <c r="C240" s="6"/>
      <c r="D240" s="6"/>
      <c r="E240" s="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"/>
      <c r="B241" s="3"/>
      <c r="C241" s="6"/>
      <c r="D241" s="6"/>
      <c r="E241" s="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"/>
      <c r="B242" s="3"/>
      <c r="C242" s="6"/>
      <c r="D242" s="6"/>
      <c r="E242" s="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"/>
      <c r="B243" s="3"/>
      <c r="C243" s="6"/>
      <c r="D243" s="6"/>
      <c r="E243" s="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"/>
      <c r="B244" s="3"/>
      <c r="C244" s="6"/>
      <c r="D244" s="6"/>
      <c r="E244" s="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"/>
      <c r="B245" s="3"/>
      <c r="C245" s="6"/>
      <c r="D245" s="6"/>
      <c r="E245" s="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"/>
      <c r="B246" s="3"/>
      <c r="C246" s="6"/>
      <c r="D246" s="6"/>
      <c r="E246" s="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"/>
      <c r="B247" s="3"/>
      <c r="C247" s="6"/>
      <c r="D247" s="6"/>
      <c r="E247" s="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"/>
      <c r="B248" s="3"/>
      <c r="C248" s="6"/>
      <c r="D248" s="6"/>
      <c r="E248" s="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"/>
      <c r="B249" s="3"/>
      <c r="C249" s="6"/>
      <c r="D249" s="6"/>
      <c r="E249" s="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"/>
      <c r="B250" s="3"/>
      <c r="C250" s="6"/>
      <c r="D250" s="6"/>
      <c r="E250" s="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"/>
      <c r="B251" s="3"/>
      <c r="C251" s="6"/>
      <c r="D251" s="6"/>
      <c r="E251" s="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"/>
      <c r="B252" s="3"/>
      <c r="C252" s="6"/>
      <c r="D252" s="6"/>
      <c r="E252" s="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"/>
      <c r="B253" s="3"/>
      <c r="C253" s="6"/>
      <c r="D253" s="6"/>
      <c r="E253" s="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"/>
      <c r="B254" s="3"/>
      <c r="C254" s="6"/>
      <c r="D254" s="6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"/>
      <c r="B255" s="3"/>
      <c r="C255" s="6"/>
      <c r="D255" s="6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"/>
      <c r="B256" s="3"/>
      <c r="C256" s="6"/>
      <c r="D256" s="6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"/>
      <c r="B257" s="3"/>
      <c r="C257" s="6"/>
      <c r="D257" s="6"/>
      <c r="E257" s="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"/>
      <c r="B258" s="3"/>
      <c r="C258" s="6"/>
      <c r="D258" s="6"/>
      <c r="E258" s="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"/>
      <c r="B259" s="3"/>
      <c r="C259" s="6"/>
      <c r="D259" s="6"/>
      <c r="E259" s="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"/>
      <c r="B260" s="3"/>
      <c r="C260" s="6"/>
      <c r="D260" s="6"/>
      <c r="E260" s="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"/>
      <c r="B261" s="3"/>
      <c r="C261" s="6"/>
      <c r="D261" s="6"/>
      <c r="E261" s="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"/>
      <c r="B262" s="3"/>
      <c r="C262" s="6"/>
      <c r="D262" s="6"/>
      <c r="E262" s="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"/>
      <c r="B263" s="3"/>
      <c r="C263" s="6"/>
      <c r="D263" s="6"/>
      <c r="E263" s="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"/>
      <c r="B264" s="3"/>
      <c r="C264" s="6"/>
      <c r="D264" s="6"/>
      <c r="E264" s="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"/>
      <c r="B265" s="3"/>
      <c r="C265" s="6"/>
      <c r="D265" s="6"/>
      <c r="E265" s="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"/>
      <c r="B266" s="3"/>
      <c r="C266" s="6"/>
      <c r="D266" s="6"/>
      <c r="E266" s="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"/>
      <c r="B267" s="3"/>
      <c r="C267" s="6"/>
      <c r="D267" s="6"/>
      <c r="E267" s="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"/>
      <c r="B268" s="3"/>
      <c r="C268" s="6"/>
      <c r="D268" s="6"/>
      <c r="E268" s="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"/>
      <c r="B269" s="3"/>
      <c r="C269" s="6"/>
      <c r="D269" s="6"/>
      <c r="E269" s="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"/>
      <c r="B270" s="3"/>
      <c r="C270" s="6"/>
      <c r="D270" s="6"/>
      <c r="E270" s="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"/>
      <c r="B271" s="3"/>
      <c r="C271" s="6"/>
      <c r="D271" s="6"/>
      <c r="E271" s="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"/>
      <c r="B272" s="3"/>
      <c r="C272" s="6"/>
      <c r="D272" s="6"/>
      <c r="E272" s="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"/>
      <c r="B273" s="3"/>
      <c r="C273" s="6"/>
      <c r="D273" s="6"/>
      <c r="E273" s="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"/>
      <c r="B274" s="3"/>
      <c r="C274" s="6"/>
      <c r="D274" s="6"/>
      <c r="E274" s="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"/>
      <c r="B275" s="3"/>
      <c r="C275" s="6"/>
      <c r="D275" s="6"/>
      <c r="E275" s="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"/>
      <c r="B276" s="3"/>
      <c r="C276" s="6"/>
      <c r="D276" s="6"/>
      <c r="E276" s="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"/>
      <c r="B277" s="3"/>
      <c r="C277" s="6"/>
      <c r="D277" s="6"/>
      <c r="E277" s="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"/>
      <c r="B278" s="3"/>
      <c r="C278" s="6"/>
      <c r="D278" s="6"/>
      <c r="E278" s="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"/>
      <c r="B279" s="3"/>
      <c r="C279" s="6"/>
      <c r="D279" s="6"/>
      <c r="E279" s="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"/>
      <c r="B280" s="3"/>
      <c r="C280" s="6"/>
      <c r="D280" s="6"/>
      <c r="E280" s="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"/>
      <c r="B281" s="3"/>
      <c r="C281" s="6"/>
      <c r="D281" s="6"/>
      <c r="E281" s="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"/>
      <c r="B282" s="3"/>
      <c r="C282" s="6"/>
      <c r="D282" s="6"/>
      <c r="E282" s="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"/>
      <c r="B283" s="3"/>
      <c r="C283" s="6"/>
      <c r="D283" s="6"/>
      <c r="E283" s="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"/>
      <c r="B284" s="3"/>
      <c r="C284" s="6"/>
      <c r="D284" s="6"/>
      <c r="E284" s="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"/>
      <c r="B285" s="3"/>
      <c r="C285" s="6"/>
      <c r="D285" s="6"/>
      <c r="E285" s="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"/>
      <c r="B286" s="3"/>
      <c r="C286" s="6"/>
      <c r="D286" s="6"/>
      <c r="E286" s="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"/>
      <c r="B287" s="3"/>
      <c r="C287" s="6"/>
      <c r="D287" s="6"/>
      <c r="E287" s="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"/>
      <c r="B288" s="3"/>
      <c r="C288" s="6"/>
      <c r="D288" s="6"/>
      <c r="E288" s="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"/>
      <c r="B289" s="3"/>
      <c r="C289" s="6"/>
      <c r="D289" s="6"/>
      <c r="E289" s="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"/>
      <c r="B290" s="3"/>
      <c r="C290" s="6"/>
      <c r="D290" s="6"/>
      <c r="E290" s="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"/>
      <c r="B291" s="3"/>
      <c r="C291" s="6"/>
      <c r="D291" s="6"/>
      <c r="E291" s="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"/>
      <c r="B292" s="3"/>
      <c r="C292" s="6"/>
      <c r="D292" s="6"/>
      <c r="E292" s="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"/>
      <c r="B293" s="3"/>
      <c r="C293" s="6"/>
      <c r="D293" s="6"/>
      <c r="E293" s="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"/>
      <c r="B294" s="3"/>
      <c r="C294" s="6"/>
      <c r="D294" s="6"/>
      <c r="E294" s="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"/>
      <c r="B295" s="3"/>
      <c r="C295" s="6"/>
      <c r="D295" s="6"/>
      <c r="E295" s="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"/>
      <c r="B296" s="3"/>
      <c r="C296" s="6"/>
      <c r="D296" s="6"/>
      <c r="E296" s="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"/>
      <c r="B297" s="3"/>
      <c r="C297" s="6"/>
      <c r="D297" s="6"/>
      <c r="E297" s="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"/>
      <c r="B298" s="3"/>
      <c r="C298" s="6"/>
      <c r="D298" s="6"/>
      <c r="E298" s="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"/>
      <c r="B299" s="3"/>
      <c r="C299" s="6"/>
      <c r="D299" s="6"/>
      <c r="E299" s="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"/>
      <c r="B300" s="3"/>
      <c r="C300" s="6"/>
      <c r="D300" s="6"/>
      <c r="E300" s="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"/>
      <c r="B301" s="3"/>
      <c r="C301" s="6"/>
      <c r="D301" s="6"/>
      <c r="E301" s="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"/>
      <c r="B302" s="3"/>
      <c r="C302" s="6"/>
      <c r="D302" s="6"/>
      <c r="E302" s="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"/>
      <c r="B303" s="3"/>
      <c r="C303" s="6"/>
      <c r="D303" s="6"/>
      <c r="E303" s="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"/>
      <c r="B304" s="3"/>
      <c r="C304" s="6"/>
      <c r="D304" s="6"/>
      <c r="E304" s="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"/>
      <c r="B305" s="3"/>
      <c r="C305" s="6"/>
      <c r="D305" s="6"/>
      <c r="E305" s="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"/>
      <c r="B306" s="3"/>
      <c r="C306" s="6"/>
      <c r="D306" s="6"/>
      <c r="E306" s="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"/>
      <c r="B307" s="3"/>
      <c r="C307" s="6"/>
      <c r="D307" s="6"/>
      <c r="E307" s="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"/>
      <c r="B308" s="3"/>
      <c r="C308" s="6"/>
      <c r="D308" s="6"/>
      <c r="E308" s="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"/>
      <c r="B309" s="3"/>
      <c r="C309" s="6"/>
      <c r="D309" s="6"/>
      <c r="E309" s="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"/>
      <c r="B310" s="3"/>
      <c r="C310" s="6"/>
      <c r="D310" s="6"/>
      <c r="E310" s="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"/>
      <c r="B311" s="3"/>
      <c r="C311" s="6"/>
      <c r="D311" s="6"/>
      <c r="E311" s="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"/>
      <c r="B312" s="3"/>
      <c r="C312" s="6"/>
      <c r="D312" s="6"/>
      <c r="E312" s="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"/>
      <c r="B313" s="3"/>
      <c r="C313" s="6"/>
      <c r="D313" s="6"/>
      <c r="E313" s="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"/>
      <c r="B314" s="3"/>
      <c r="C314" s="6"/>
      <c r="D314" s="6"/>
      <c r="E314" s="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"/>
      <c r="B315" s="3"/>
      <c r="C315" s="6"/>
      <c r="D315" s="6"/>
      <c r="E315" s="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"/>
      <c r="B316" s="3"/>
      <c r="C316" s="6"/>
      <c r="D316" s="6"/>
      <c r="E316" s="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"/>
      <c r="B317" s="3"/>
      <c r="C317" s="6"/>
      <c r="D317" s="6"/>
      <c r="E317" s="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"/>
      <c r="B318" s="3"/>
      <c r="C318" s="6"/>
      <c r="D318" s="6"/>
      <c r="E318" s="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"/>
      <c r="B319" s="3"/>
      <c r="C319" s="6"/>
      <c r="D319" s="6"/>
      <c r="E319" s="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"/>
      <c r="B320" s="3"/>
      <c r="C320" s="6"/>
      <c r="D320" s="6"/>
      <c r="E320" s="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"/>
      <c r="B321" s="3"/>
      <c r="C321" s="6"/>
      <c r="D321" s="6"/>
      <c r="E321" s="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"/>
      <c r="B322" s="3"/>
      <c r="C322" s="6"/>
      <c r="D322" s="6"/>
      <c r="E322" s="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"/>
      <c r="B323" s="3"/>
      <c r="C323" s="6"/>
      <c r="D323" s="6"/>
      <c r="E323" s="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"/>
      <c r="B324" s="3"/>
      <c r="C324" s="6"/>
      <c r="D324" s="6"/>
      <c r="E324" s="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"/>
      <c r="B325" s="3"/>
      <c r="C325" s="6"/>
      <c r="D325" s="6"/>
      <c r="E325" s="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"/>
      <c r="B326" s="3"/>
      <c r="C326" s="6"/>
      <c r="D326" s="6"/>
      <c r="E326" s="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"/>
      <c r="B327" s="3"/>
      <c r="C327" s="6"/>
      <c r="D327" s="6"/>
      <c r="E327" s="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"/>
      <c r="B328" s="3"/>
      <c r="C328" s="6"/>
      <c r="D328" s="6"/>
      <c r="E328" s="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"/>
      <c r="B329" s="3"/>
      <c r="C329" s="6"/>
      <c r="D329" s="6"/>
      <c r="E329" s="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"/>
      <c r="B330" s="3"/>
      <c r="C330" s="6"/>
      <c r="D330" s="6"/>
      <c r="E330" s="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"/>
      <c r="B331" s="3"/>
      <c r="C331" s="6"/>
      <c r="D331" s="6"/>
      <c r="E331" s="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"/>
      <c r="B332" s="3"/>
      <c r="C332" s="6"/>
      <c r="D332" s="6"/>
      <c r="E332" s="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"/>
      <c r="B333" s="3"/>
      <c r="C333" s="6"/>
      <c r="D333" s="6"/>
      <c r="E333" s="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"/>
      <c r="B334" s="3"/>
      <c r="C334" s="6"/>
      <c r="D334" s="6"/>
      <c r="E334" s="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"/>
      <c r="B335" s="3"/>
      <c r="C335" s="6"/>
      <c r="D335" s="6"/>
      <c r="E335" s="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"/>
      <c r="B336" s="3"/>
      <c r="C336" s="6"/>
      <c r="D336" s="6"/>
      <c r="E336" s="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"/>
      <c r="B337" s="3"/>
      <c r="C337" s="6"/>
      <c r="D337" s="6"/>
      <c r="E337" s="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"/>
      <c r="B338" s="3"/>
      <c r="C338" s="6"/>
      <c r="D338" s="6"/>
      <c r="E338" s="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"/>
      <c r="B339" s="3"/>
      <c r="C339" s="6"/>
      <c r="D339" s="6"/>
      <c r="E339" s="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"/>
      <c r="B340" s="3"/>
      <c r="C340" s="6"/>
      <c r="D340" s="6"/>
      <c r="E340" s="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"/>
      <c r="B341" s="3"/>
      <c r="C341" s="6"/>
      <c r="D341" s="6"/>
      <c r="E341" s="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"/>
      <c r="B342" s="3"/>
      <c r="C342" s="6"/>
      <c r="D342" s="6"/>
      <c r="E342" s="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"/>
      <c r="B343" s="3"/>
      <c r="C343" s="6"/>
      <c r="D343" s="6"/>
      <c r="E343" s="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"/>
      <c r="B344" s="3"/>
      <c r="C344" s="6"/>
      <c r="D344" s="6"/>
      <c r="E344" s="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"/>
      <c r="B345" s="3"/>
      <c r="C345" s="6"/>
      <c r="D345" s="6"/>
      <c r="E345" s="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"/>
      <c r="B346" s="3"/>
      <c r="C346" s="6"/>
      <c r="D346" s="6"/>
      <c r="E346" s="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"/>
      <c r="B347" s="3"/>
      <c r="C347" s="6"/>
      <c r="D347" s="6"/>
      <c r="E347" s="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"/>
      <c r="B348" s="3"/>
      <c r="C348" s="6"/>
      <c r="D348" s="6"/>
      <c r="E348" s="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"/>
      <c r="B349" s="3"/>
      <c r="C349" s="6"/>
      <c r="D349" s="6"/>
      <c r="E349" s="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"/>
      <c r="B350" s="3"/>
      <c r="C350" s="6"/>
      <c r="D350" s="6"/>
      <c r="E350" s="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"/>
      <c r="B351" s="3"/>
      <c r="C351" s="6"/>
      <c r="D351" s="6"/>
      <c r="E351" s="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"/>
      <c r="B352" s="3"/>
      <c r="C352" s="6"/>
      <c r="D352" s="6"/>
      <c r="E352" s="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"/>
      <c r="B353" s="3"/>
      <c r="C353" s="6"/>
      <c r="D353" s="6"/>
      <c r="E353" s="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"/>
      <c r="B354" s="3"/>
      <c r="C354" s="6"/>
      <c r="D354" s="6"/>
      <c r="E354" s="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"/>
      <c r="B355" s="3"/>
      <c r="C355" s="6"/>
      <c r="D355" s="6"/>
      <c r="E355" s="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"/>
      <c r="B356" s="3"/>
      <c r="C356" s="6"/>
      <c r="D356" s="6"/>
      <c r="E356" s="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"/>
      <c r="B357" s="3"/>
      <c r="C357" s="6"/>
      <c r="D357" s="6"/>
      <c r="E357" s="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"/>
      <c r="B358" s="3"/>
      <c r="C358" s="6"/>
      <c r="D358" s="6"/>
      <c r="E358" s="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"/>
      <c r="B359" s="3"/>
      <c r="C359" s="6"/>
      <c r="D359" s="6"/>
      <c r="E359" s="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"/>
      <c r="B360" s="3"/>
      <c r="C360" s="6"/>
      <c r="D360" s="6"/>
      <c r="E360" s="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"/>
      <c r="B361" s="3"/>
      <c r="C361" s="6"/>
      <c r="D361" s="6"/>
      <c r="E361" s="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"/>
      <c r="B362" s="3"/>
      <c r="C362" s="6"/>
      <c r="D362" s="6"/>
      <c r="E362" s="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"/>
      <c r="B363" s="3"/>
      <c r="C363" s="6"/>
      <c r="D363" s="6"/>
      <c r="E363" s="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"/>
      <c r="B364" s="3"/>
      <c r="C364" s="6"/>
      <c r="D364" s="6"/>
      <c r="E364" s="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"/>
      <c r="B365" s="3"/>
      <c r="C365" s="6"/>
      <c r="D365" s="6"/>
      <c r="E365" s="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"/>
      <c r="B366" s="3"/>
      <c r="C366" s="6"/>
      <c r="D366" s="6"/>
      <c r="E366" s="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"/>
      <c r="B367" s="3"/>
      <c r="C367" s="6"/>
      <c r="D367" s="6"/>
      <c r="E367" s="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"/>
      <c r="B368" s="3"/>
      <c r="C368" s="6"/>
      <c r="D368" s="6"/>
      <c r="E368" s="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"/>
      <c r="B369" s="3"/>
      <c r="C369" s="6"/>
      <c r="D369" s="6"/>
      <c r="E369" s="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"/>
      <c r="B370" s="3"/>
      <c r="C370" s="6"/>
      <c r="D370" s="6"/>
      <c r="E370" s="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"/>
      <c r="B371" s="3"/>
      <c r="C371" s="6"/>
      <c r="D371" s="6"/>
      <c r="E371" s="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"/>
      <c r="B372" s="3"/>
      <c r="C372" s="6"/>
      <c r="D372" s="6"/>
      <c r="E372" s="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"/>
      <c r="B373" s="3"/>
      <c r="C373" s="6"/>
      <c r="D373" s="6"/>
      <c r="E373" s="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"/>
      <c r="B374" s="3"/>
      <c r="C374" s="6"/>
      <c r="D374" s="6"/>
      <c r="E374" s="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"/>
      <c r="B375" s="3"/>
      <c r="C375" s="6"/>
      <c r="D375" s="6"/>
      <c r="E375" s="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"/>
      <c r="B376" s="3"/>
      <c r="C376" s="6"/>
      <c r="D376" s="6"/>
      <c r="E376" s="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"/>
      <c r="B377" s="3"/>
      <c r="C377" s="6"/>
      <c r="D377" s="6"/>
      <c r="E377" s="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"/>
      <c r="B378" s="3"/>
      <c r="C378" s="6"/>
      <c r="D378" s="6"/>
      <c r="E378" s="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"/>
      <c r="B379" s="3"/>
      <c r="C379" s="6"/>
      <c r="D379" s="6"/>
      <c r="E379" s="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"/>
      <c r="B380" s="3"/>
      <c r="C380" s="6"/>
      <c r="D380" s="6"/>
      <c r="E380" s="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"/>
      <c r="B381" s="3"/>
      <c r="C381" s="6"/>
      <c r="D381" s="6"/>
      <c r="E381" s="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"/>
      <c r="B382" s="3"/>
      <c r="C382" s="6"/>
      <c r="D382" s="6"/>
      <c r="E382" s="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"/>
      <c r="B383" s="3"/>
      <c r="C383" s="6"/>
      <c r="D383" s="6"/>
      <c r="E383" s="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"/>
      <c r="B384" s="3"/>
      <c r="C384" s="6"/>
      <c r="D384" s="6"/>
      <c r="E384" s="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"/>
      <c r="B385" s="3"/>
      <c r="C385" s="6"/>
      <c r="D385" s="6"/>
      <c r="E385" s="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"/>
      <c r="B386" s="3"/>
      <c r="C386" s="6"/>
      <c r="D386" s="6"/>
      <c r="E386" s="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"/>
      <c r="B387" s="3"/>
      <c r="C387" s="6"/>
      <c r="D387" s="6"/>
      <c r="E387" s="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"/>
      <c r="B388" s="3"/>
      <c r="C388" s="6"/>
      <c r="D388" s="6"/>
      <c r="E388" s="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"/>
      <c r="B389" s="3"/>
      <c r="C389" s="6"/>
      <c r="D389" s="6"/>
      <c r="E389" s="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"/>
      <c r="B390" s="3"/>
      <c r="C390" s="6"/>
      <c r="D390" s="6"/>
      <c r="E390" s="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"/>
      <c r="B391" s="3"/>
      <c r="C391" s="6"/>
      <c r="D391" s="6"/>
      <c r="E391" s="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"/>
      <c r="B392" s="3"/>
      <c r="C392" s="6"/>
      <c r="D392" s="6"/>
      <c r="E392" s="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"/>
      <c r="B393" s="3"/>
      <c r="C393" s="6"/>
      <c r="D393" s="6"/>
      <c r="E393" s="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"/>
      <c r="B394" s="3"/>
      <c r="C394" s="6"/>
      <c r="D394" s="6"/>
      <c r="E394" s="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"/>
      <c r="B395" s="3"/>
      <c r="C395" s="6"/>
      <c r="D395" s="6"/>
      <c r="E395" s="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"/>
      <c r="B396" s="3"/>
      <c r="C396" s="6"/>
      <c r="D396" s="6"/>
      <c r="E396" s="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"/>
      <c r="B397" s="3"/>
      <c r="C397" s="6"/>
      <c r="D397" s="6"/>
      <c r="E397" s="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"/>
      <c r="B398" s="3"/>
      <c r="C398" s="6"/>
      <c r="D398" s="6"/>
      <c r="E398" s="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"/>
      <c r="B399" s="3"/>
      <c r="C399" s="6"/>
      <c r="D399" s="6"/>
      <c r="E399" s="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"/>
      <c r="B400" s="3"/>
      <c r="C400" s="6"/>
      <c r="D400" s="6"/>
      <c r="E400" s="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"/>
      <c r="B401" s="3"/>
      <c r="C401" s="6"/>
      <c r="D401" s="6"/>
      <c r="E401" s="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"/>
      <c r="B402" s="3"/>
      <c r="C402" s="6"/>
      <c r="D402" s="6"/>
      <c r="E402" s="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"/>
      <c r="B403" s="3"/>
      <c r="C403" s="6"/>
      <c r="D403" s="6"/>
      <c r="E403" s="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"/>
      <c r="B404" s="3"/>
      <c r="C404" s="6"/>
      <c r="D404" s="6"/>
      <c r="E404" s="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"/>
      <c r="B405" s="3"/>
      <c r="C405" s="6"/>
      <c r="D405" s="6"/>
      <c r="E405" s="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"/>
      <c r="B406" s="3"/>
      <c r="C406" s="6"/>
      <c r="D406" s="6"/>
      <c r="E406" s="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"/>
      <c r="B407" s="3"/>
      <c r="C407" s="6"/>
      <c r="D407" s="6"/>
      <c r="E407" s="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"/>
      <c r="B408" s="3"/>
      <c r="C408" s="6"/>
      <c r="D408" s="6"/>
      <c r="E408" s="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"/>
      <c r="B409" s="3"/>
      <c r="C409" s="6"/>
      <c r="D409" s="6"/>
      <c r="E409" s="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"/>
      <c r="B410" s="3"/>
      <c r="C410" s="6"/>
      <c r="D410" s="6"/>
      <c r="E410" s="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"/>
      <c r="B411" s="3"/>
      <c r="C411" s="6"/>
      <c r="D411" s="6"/>
      <c r="E411" s="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"/>
      <c r="B412" s="3"/>
      <c r="C412" s="6"/>
      <c r="D412" s="6"/>
      <c r="E412" s="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"/>
      <c r="B413" s="3"/>
      <c r="C413" s="6"/>
      <c r="D413" s="6"/>
      <c r="E413" s="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"/>
      <c r="B414" s="3"/>
      <c r="C414" s="6"/>
      <c r="D414" s="6"/>
      <c r="E414" s="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"/>
      <c r="B415" s="3"/>
      <c r="C415" s="6"/>
      <c r="D415" s="6"/>
      <c r="E415" s="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"/>
      <c r="B416" s="3"/>
      <c r="C416" s="6"/>
      <c r="D416" s="6"/>
      <c r="E416" s="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"/>
      <c r="B417" s="3"/>
      <c r="C417" s="6"/>
      <c r="D417" s="6"/>
      <c r="E417" s="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"/>
      <c r="B418" s="3"/>
      <c r="C418" s="6"/>
      <c r="D418" s="6"/>
      <c r="E418" s="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"/>
      <c r="B419" s="3"/>
      <c r="C419" s="6"/>
      <c r="D419" s="6"/>
      <c r="E419" s="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"/>
      <c r="B420" s="3"/>
      <c r="C420" s="6"/>
      <c r="D420" s="6"/>
      <c r="E420" s="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"/>
      <c r="B421" s="3"/>
      <c r="C421" s="6"/>
      <c r="D421" s="6"/>
      <c r="E421" s="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"/>
      <c r="B422" s="3"/>
      <c r="C422" s="6"/>
      <c r="D422" s="6"/>
      <c r="E422" s="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"/>
      <c r="B423" s="3"/>
      <c r="C423" s="6"/>
      <c r="D423" s="6"/>
      <c r="E423" s="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"/>
      <c r="B424" s="3"/>
      <c r="C424" s="6"/>
      <c r="D424" s="6"/>
      <c r="E424" s="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"/>
      <c r="B425" s="3"/>
      <c r="C425" s="6"/>
      <c r="D425" s="6"/>
      <c r="E425" s="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"/>
      <c r="B426" s="3"/>
      <c r="C426" s="6"/>
      <c r="D426" s="6"/>
      <c r="E426" s="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"/>
      <c r="B427" s="3"/>
      <c r="C427" s="6"/>
      <c r="D427" s="6"/>
      <c r="E427" s="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"/>
      <c r="B428" s="3"/>
      <c r="C428" s="6"/>
      <c r="D428" s="6"/>
      <c r="E428" s="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"/>
      <c r="B429" s="3"/>
      <c r="C429" s="6"/>
      <c r="D429" s="6"/>
      <c r="E429" s="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"/>
      <c r="B430" s="3"/>
      <c r="C430" s="6"/>
      <c r="D430" s="6"/>
      <c r="E430" s="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"/>
      <c r="B431" s="3"/>
      <c r="C431" s="6"/>
      <c r="D431" s="6"/>
      <c r="E431" s="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"/>
      <c r="B432" s="3"/>
      <c r="C432" s="6"/>
      <c r="D432" s="6"/>
      <c r="E432" s="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"/>
      <c r="B433" s="3"/>
      <c r="C433" s="6"/>
      <c r="D433" s="6"/>
      <c r="E433" s="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"/>
      <c r="B434" s="3"/>
      <c r="C434" s="6"/>
      <c r="D434" s="6"/>
      <c r="E434" s="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"/>
      <c r="B435" s="3"/>
      <c r="C435" s="6"/>
      <c r="D435" s="6"/>
      <c r="E435" s="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"/>
      <c r="B436" s="3"/>
      <c r="C436" s="6"/>
      <c r="D436" s="6"/>
      <c r="E436" s="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"/>
      <c r="B437" s="3"/>
      <c r="C437" s="6"/>
      <c r="D437" s="6"/>
      <c r="E437" s="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"/>
      <c r="B438" s="3"/>
      <c r="C438" s="6"/>
      <c r="D438" s="6"/>
      <c r="E438" s="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"/>
      <c r="B439" s="3"/>
      <c r="C439" s="6"/>
      <c r="D439" s="6"/>
      <c r="E439" s="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"/>
      <c r="B440" s="3"/>
      <c r="C440" s="6"/>
      <c r="D440" s="6"/>
      <c r="E440" s="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"/>
      <c r="B441" s="3"/>
      <c r="C441" s="6"/>
      <c r="D441" s="6"/>
      <c r="E441" s="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"/>
      <c r="B442" s="3"/>
      <c r="C442" s="6"/>
      <c r="D442" s="6"/>
      <c r="E442" s="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"/>
      <c r="B443" s="3"/>
      <c r="C443" s="6"/>
      <c r="D443" s="6"/>
      <c r="E443" s="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"/>
      <c r="B444" s="3"/>
      <c r="C444" s="6"/>
      <c r="D444" s="6"/>
      <c r="E444" s="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"/>
      <c r="B445" s="3"/>
      <c r="C445" s="6"/>
      <c r="D445" s="6"/>
      <c r="E445" s="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"/>
      <c r="B446" s="3"/>
      <c r="C446" s="6"/>
      <c r="D446" s="6"/>
      <c r="E446" s="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"/>
      <c r="B447" s="3"/>
      <c r="C447" s="6"/>
      <c r="D447" s="6"/>
      <c r="E447" s="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"/>
      <c r="B448" s="3"/>
      <c r="C448" s="6"/>
      <c r="D448" s="6"/>
      <c r="E448" s="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"/>
      <c r="B449" s="3"/>
      <c r="C449" s="6"/>
      <c r="D449" s="6"/>
      <c r="E449" s="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"/>
      <c r="B450" s="3"/>
      <c r="C450" s="6"/>
      <c r="D450" s="6"/>
      <c r="E450" s="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"/>
      <c r="B451" s="3"/>
      <c r="C451" s="6"/>
      <c r="D451" s="6"/>
      <c r="E451" s="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"/>
      <c r="B452" s="3"/>
      <c r="C452" s="6"/>
      <c r="D452" s="6"/>
      <c r="E452" s="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"/>
      <c r="B453" s="3"/>
      <c r="C453" s="6"/>
      <c r="D453" s="6"/>
      <c r="E453" s="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"/>
      <c r="B454" s="3"/>
      <c r="C454" s="6"/>
      <c r="D454" s="6"/>
      <c r="E454" s="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"/>
      <c r="B455" s="3"/>
      <c r="C455" s="6"/>
      <c r="D455" s="6"/>
      <c r="E455" s="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"/>
      <c r="B456" s="3"/>
      <c r="C456" s="6"/>
      <c r="D456" s="6"/>
      <c r="E456" s="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"/>
      <c r="B457" s="3"/>
      <c r="C457" s="6"/>
      <c r="D457" s="6"/>
      <c r="E457" s="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"/>
      <c r="B458" s="3"/>
      <c r="C458" s="6"/>
      <c r="D458" s="6"/>
      <c r="E458" s="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"/>
      <c r="B459" s="3"/>
      <c r="C459" s="6"/>
      <c r="D459" s="6"/>
      <c r="E459" s="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"/>
      <c r="B460" s="3"/>
      <c r="C460" s="6"/>
      <c r="D460" s="6"/>
      <c r="E460" s="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"/>
      <c r="B461" s="3"/>
      <c r="C461" s="6"/>
      <c r="D461" s="6"/>
      <c r="E461" s="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"/>
      <c r="B462" s="3"/>
      <c r="C462" s="6"/>
      <c r="D462" s="6"/>
      <c r="E462" s="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"/>
      <c r="B463" s="3"/>
      <c r="C463" s="6"/>
      <c r="D463" s="6"/>
      <c r="E463" s="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"/>
      <c r="B464" s="3"/>
      <c r="C464" s="6"/>
      <c r="D464" s="6"/>
      <c r="E464" s="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"/>
      <c r="B465" s="3"/>
      <c r="C465" s="6"/>
      <c r="D465" s="6"/>
      <c r="E465" s="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"/>
      <c r="B466" s="3"/>
      <c r="C466" s="6"/>
      <c r="D466" s="6"/>
      <c r="E466" s="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"/>
      <c r="B467" s="3"/>
      <c r="C467" s="6"/>
      <c r="D467" s="6"/>
      <c r="E467" s="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"/>
      <c r="B468" s="3"/>
      <c r="C468" s="6"/>
      <c r="D468" s="6"/>
      <c r="E468" s="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"/>
      <c r="B469" s="3"/>
      <c r="C469" s="6"/>
      <c r="D469" s="6"/>
      <c r="E469" s="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"/>
      <c r="B470" s="3"/>
      <c r="C470" s="6"/>
      <c r="D470" s="6"/>
      <c r="E470" s="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"/>
      <c r="B471" s="3"/>
      <c r="C471" s="6"/>
      <c r="D471" s="6"/>
      <c r="E471" s="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"/>
      <c r="B472" s="3"/>
      <c r="C472" s="6"/>
      <c r="D472" s="6"/>
      <c r="E472" s="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"/>
      <c r="B473" s="3"/>
      <c r="C473" s="6"/>
      <c r="D473" s="6"/>
      <c r="E473" s="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"/>
      <c r="B474" s="3"/>
      <c r="C474" s="6"/>
      <c r="D474" s="6"/>
      <c r="E474" s="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"/>
      <c r="B475" s="3"/>
      <c r="C475" s="6"/>
      <c r="D475" s="6"/>
      <c r="E475" s="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"/>
      <c r="B476" s="3"/>
      <c r="C476" s="6"/>
      <c r="D476" s="6"/>
      <c r="E476" s="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"/>
      <c r="B477" s="3"/>
      <c r="C477" s="6"/>
      <c r="D477" s="6"/>
      <c r="E477" s="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"/>
      <c r="B478" s="3"/>
      <c r="C478" s="6"/>
      <c r="D478" s="6"/>
      <c r="E478" s="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"/>
      <c r="B479" s="3"/>
      <c r="C479" s="6"/>
      <c r="D479" s="6"/>
      <c r="E479" s="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"/>
      <c r="B480" s="3"/>
      <c r="C480" s="6"/>
      <c r="D480" s="6"/>
      <c r="E480" s="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"/>
      <c r="B481" s="3"/>
      <c r="C481" s="6"/>
      <c r="D481" s="6"/>
      <c r="E481" s="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"/>
      <c r="B482" s="3"/>
      <c r="C482" s="6"/>
      <c r="D482" s="6"/>
      <c r="E482" s="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"/>
      <c r="B483" s="3"/>
      <c r="C483" s="6"/>
      <c r="D483" s="6"/>
      <c r="E483" s="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"/>
      <c r="B484" s="3"/>
      <c r="C484" s="6"/>
      <c r="D484" s="6"/>
      <c r="E484" s="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"/>
      <c r="B485" s="3"/>
      <c r="C485" s="6"/>
      <c r="D485" s="6"/>
      <c r="E485" s="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"/>
      <c r="B486" s="3"/>
      <c r="C486" s="6"/>
      <c r="D486" s="6"/>
      <c r="E486" s="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"/>
      <c r="B487" s="3"/>
      <c r="C487" s="6"/>
      <c r="D487" s="6"/>
      <c r="E487" s="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"/>
      <c r="B488" s="3"/>
      <c r="C488" s="6"/>
      <c r="D488" s="6"/>
      <c r="E488" s="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"/>
      <c r="B489" s="3"/>
      <c r="C489" s="6"/>
      <c r="D489" s="6"/>
      <c r="E489" s="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"/>
      <c r="B490" s="3"/>
      <c r="C490" s="6"/>
      <c r="D490" s="6"/>
      <c r="E490" s="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"/>
      <c r="B491" s="3"/>
      <c r="C491" s="6"/>
      <c r="D491" s="6"/>
      <c r="E491" s="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"/>
      <c r="B492" s="3"/>
      <c r="C492" s="6"/>
      <c r="D492" s="6"/>
      <c r="E492" s="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"/>
      <c r="B493" s="3"/>
      <c r="C493" s="6"/>
      <c r="D493" s="6"/>
      <c r="E493" s="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"/>
      <c r="B494" s="3"/>
      <c r="C494" s="6"/>
      <c r="D494" s="6"/>
      <c r="E494" s="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"/>
      <c r="B495" s="3"/>
      <c r="C495" s="6"/>
      <c r="D495" s="6"/>
      <c r="E495" s="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"/>
      <c r="B496" s="3"/>
      <c r="C496" s="6"/>
      <c r="D496" s="6"/>
      <c r="E496" s="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"/>
      <c r="B497" s="3"/>
      <c r="C497" s="6"/>
      <c r="D497" s="6"/>
      <c r="E497" s="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"/>
      <c r="B498" s="3"/>
      <c r="C498" s="6"/>
      <c r="D498" s="6"/>
      <c r="E498" s="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"/>
      <c r="B499" s="3"/>
      <c r="C499" s="6"/>
      <c r="D499" s="6"/>
      <c r="E499" s="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"/>
      <c r="B500" s="3"/>
      <c r="C500" s="6"/>
      <c r="D500" s="6"/>
      <c r="E500" s="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1"/>
      <c r="B501" s="3"/>
      <c r="C501" s="6"/>
      <c r="D501" s="6"/>
      <c r="E501" s="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1"/>
      <c r="B502" s="3"/>
      <c r="C502" s="6"/>
      <c r="D502" s="6"/>
      <c r="E502" s="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1"/>
      <c r="B503" s="3"/>
      <c r="C503" s="6"/>
      <c r="D503" s="6"/>
      <c r="E503" s="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1"/>
      <c r="B504" s="3"/>
      <c r="C504" s="6"/>
      <c r="D504" s="6"/>
      <c r="E504" s="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1"/>
      <c r="B505" s="3"/>
      <c r="C505" s="6"/>
      <c r="D505" s="6"/>
      <c r="E505" s="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1"/>
      <c r="B506" s="3"/>
      <c r="C506" s="6"/>
      <c r="D506" s="6"/>
      <c r="E506" s="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1"/>
      <c r="B507" s="3"/>
      <c r="C507" s="6"/>
      <c r="D507" s="6"/>
      <c r="E507" s="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1"/>
      <c r="B508" s="3"/>
      <c r="C508" s="6"/>
      <c r="D508" s="6"/>
      <c r="E508" s="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1"/>
      <c r="B509" s="3"/>
      <c r="C509" s="6"/>
      <c r="D509" s="6"/>
      <c r="E509" s="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1"/>
      <c r="B510" s="3"/>
      <c r="C510" s="6"/>
      <c r="D510" s="6"/>
      <c r="E510" s="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1"/>
      <c r="B511" s="3"/>
      <c r="C511" s="6"/>
      <c r="D511" s="6"/>
      <c r="E511" s="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1"/>
      <c r="B512" s="3"/>
      <c r="C512" s="6"/>
      <c r="D512" s="6"/>
      <c r="E512" s="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1"/>
      <c r="B513" s="3"/>
      <c r="C513" s="6"/>
      <c r="D513" s="6"/>
      <c r="E513" s="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1"/>
      <c r="B514" s="3"/>
      <c r="C514" s="6"/>
      <c r="D514" s="6"/>
      <c r="E514" s="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1"/>
      <c r="B515" s="3"/>
      <c r="C515" s="6"/>
      <c r="D515" s="6"/>
      <c r="E515" s="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1"/>
      <c r="B516" s="3"/>
      <c r="C516" s="6"/>
      <c r="D516" s="6"/>
      <c r="E516" s="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1"/>
      <c r="B517" s="3"/>
      <c r="C517" s="6"/>
      <c r="D517" s="6"/>
      <c r="E517" s="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1"/>
      <c r="B518" s="3"/>
      <c r="C518" s="6"/>
      <c r="D518" s="6"/>
      <c r="E518" s="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1"/>
      <c r="B519" s="3"/>
      <c r="C519" s="6"/>
      <c r="D519" s="6"/>
      <c r="E519" s="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1"/>
      <c r="B520" s="3"/>
      <c r="C520" s="6"/>
      <c r="D520" s="6"/>
      <c r="E520" s="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1"/>
      <c r="B521" s="3"/>
      <c r="C521" s="6"/>
      <c r="D521" s="6"/>
      <c r="E521" s="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1"/>
      <c r="B522" s="3"/>
      <c r="C522" s="6"/>
      <c r="D522" s="6"/>
      <c r="E522" s="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1"/>
      <c r="B523" s="3"/>
      <c r="C523" s="6"/>
      <c r="D523" s="6"/>
      <c r="E523" s="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1"/>
      <c r="B524" s="3"/>
      <c r="C524" s="6"/>
      <c r="D524" s="6"/>
      <c r="E524" s="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1"/>
      <c r="B525" s="3"/>
      <c r="C525" s="6"/>
      <c r="D525" s="6"/>
      <c r="E525" s="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1"/>
      <c r="B526" s="3"/>
      <c r="C526" s="6"/>
      <c r="D526" s="6"/>
      <c r="E526" s="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1"/>
      <c r="B527" s="3"/>
      <c r="C527" s="6"/>
      <c r="D527" s="6"/>
      <c r="E527" s="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1"/>
      <c r="B528" s="3"/>
      <c r="C528" s="6"/>
      <c r="D528" s="6"/>
      <c r="E528" s="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1"/>
      <c r="B529" s="3"/>
      <c r="C529" s="6"/>
      <c r="D529" s="6"/>
      <c r="E529" s="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1"/>
      <c r="B530" s="3"/>
      <c r="C530" s="6"/>
      <c r="D530" s="6"/>
      <c r="E530" s="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1"/>
      <c r="B531" s="3"/>
      <c r="C531" s="6"/>
      <c r="D531" s="6"/>
      <c r="E531" s="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1"/>
      <c r="B532" s="3"/>
      <c r="C532" s="6"/>
      <c r="D532" s="6"/>
      <c r="E532" s="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1"/>
      <c r="B533" s="3"/>
      <c r="C533" s="6"/>
      <c r="D533" s="6"/>
      <c r="E533" s="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1"/>
      <c r="B534" s="3"/>
      <c r="C534" s="6"/>
      <c r="D534" s="6"/>
      <c r="E534" s="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1"/>
      <c r="B535" s="3"/>
      <c r="C535" s="6"/>
      <c r="D535" s="6"/>
      <c r="E535" s="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1"/>
      <c r="B536" s="3"/>
      <c r="C536" s="6"/>
      <c r="D536" s="6"/>
      <c r="E536" s="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1"/>
      <c r="B537" s="3"/>
      <c r="C537" s="6"/>
      <c r="D537" s="6"/>
      <c r="E537" s="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1"/>
      <c r="B538" s="3"/>
      <c r="C538" s="6"/>
      <c r="D538" s="6"/>
      <c r="E538" s="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1"/>
      <c r="B539" s="3"/>
      <c r="C539" s="6"/>
      <c r="D539" s="6"/>
      <c r="E539" s="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1"/>
      <c r="B540" s="3"/>
      <c r="C540" s="6"/>
      <c r="D540" s="6"/>
      <c r="E540" s="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1"/>
      <c r="B541" s="3"/>
      <c r="C541" s="6"/>
      <c r="D541" s="6"/>
      <c r="E541" s="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1"/>
      <c r="B542" s="3"/>
      <c r="C542" s="6"/>
      <c r="D542" s="6"/>
      <c r="E542" s="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1"/>
      <c r="B543" s="3"/>
      <c r="C543" s="6"/>
      <c r="D543" s="6"/>
      <c r="E543" s="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1"/>
      <c r="B544" s="3"/>
      <c r="C544" s="6"/>
      <c r="D544" s="6"/>
      <c r="E544" s="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1"/>
      <c r="B545" s="3"/>
      <c r="C545" s="6"/>
      <c r="D545" s="6"/>
      <c r="E545" s="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1"/>
      <c r="B546" s="3"/>
      <c r="C546" s="6"/>
      <c r="D546" s="6"/>
      <c r="E546" s="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1"/>
      <c r="B547" s="3"/>
      <c r="C547" s="6"/>
      <c r="D547" s="6"/>
      <c r="E547" s="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1"/>
      <c r="B548" s="3"/>
      <c r="C548" s="6"/>
      <c r="D548" s="6"/>
      <c r="E548" s="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1"/>
      <c r="B549" s="3"/>
      <c r="C549" s="6"/>
      <c r="D549" s="6"/>
      <c r="E549" s="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1"/>
      <c r="B550" s="3"/>
      <c r="C550" s="6"/>
      <c r="D550" s="6"/>
      <c r="E550" s="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1"/>
      <c r="B551" s="3"/>
      <c r="C551" s="6"/>
      <c r="D551" s="6"/>
      <c r="E551" s="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1"/>
      <c r="B552" s="3"/>
      <c r="C552" s="6"/>
      <c r="D552" s="6"/>
      <c r="E552" s="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1"/>
      <c r="B553" s="3"/>
      <c r="C553" s="6"/>
      <c r="D553" s="6"/>
      <c r="E553" s="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1"/>
      <c r="B554" s="3"/>
      <c r="C554" s="6"/>
      <c r="D554" s="6"/>
      <c r="E554" s="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1"/>
      <c r="B555" s="3"/>
      <c r="C555" s="6"/>
      <c r="D555" s="6"/>
      <c r="E555" s="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1"/>
      <c r="B556" s="3"/>
      <c r="C556" s="6"/>
      <c r="D556" s="6"/>
      <c r="E556" s="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1"/>
      <c r="B557" s="3"/>
      <c r="C557" s="6"/>
      <c r="D557" s="6"/>
      <c r="E557" s="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1"/>
      <c r="B558" s="3"/>
      <c r="C558" s="6"/>
      <c r="D558" s="6"/>
      <c r="E558" s="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1"/>
      <c r="B559" s="3"/>
      <c r="C559" s="6"/>
      <c r="D559" s="6"/>
      <c r="E559" s="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1"/>
      <c r="B560" s="3"/>
      <c r="C560" s="6"/>
      <c r="D560" s="6"/>
      <c r="E560" s="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1"/>
      <c r="B561" s="3"/>
      <c r="C561" s="6"/>
      <c r="D561" s="6"/>
      <c r="E561" s="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1"/>
      <c r="B562" s="3"/>
      <c r="C562" s="6"/>
      <c r="D562" s="6"/>
      <c r="E562" s="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1"/>
      <c r="B563" s="3"/>
      <c r="C563" s="6"/>
      <c r="D563" s="6"/>
      <c r="E563" s="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1"/>
      <c r="B564" s="3"/>
      <c r="C564" s="6"/>
      <c r="D564" s="6"/>
      <c r="E564" s="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1"/>
      <c r="B565" s="3"/>
      <c r="C565" s="6"/>
      <c r="D565" s="6"/>
      <c r="E565" s="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1"/>
      <c r="B566" s="3"/>
      <c r="C566" s="6"/>
      <c r="D566" s="6"/>
      <c r="E566" s="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1"/>
      <c r="B567" s="3"/>
      <c r="C567" s="6"/>
      <c r="D567" s="6"/>
      <c r="E567" s="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1"/>
      <c r="B568" s="3"/>
      <c r="C568" s="6"/>
      <c r="D568" s="6"/>
      <c r="E568" s="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1"/>
      <c r="B569" s="3"/>
      <c r="C569" s="6"/>
      <c r="D569" s="6"/>
      <c r="E569" s="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1"/>
      <c r="B570" s="3"/>
      <c r="C570" s="6"/>
      <c r="D570" s="6"/>
      <c r="E570" s="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1"/>
      <c r="B571" s="3"/>
      <c r="C571" s="6"/>
      <c r="D571" s="6"/>
      <c r="E571" s="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1"/>
      <c r="B572" s="3"/>
      <c r="C572" s="6"/>
      <c r="D572" s="6"/>
      <c r="E572" s="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1"/>
      <c r="B573" s="3"/>
      <c r="C573" s="6"/>
      <c r="D573" s="6"/>
      <c r="E573" s="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1"/>
      <c r="B574" s="3"/>
      <c r="C574" s="6"/>
      <c r="D574" s="6"/>
      <c r="E574" s="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1"/>
      <c r="B575" s="3"/>
      <c r="C575" s="6"/>
      <c r="D575" s="6"/>
      <c r="E575" s="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1"/>
      <c r="B576" s="3"/>
      <c r="C576" s="6"/>
      <c r="D576" s="6"/>
      <c r="E576" s="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1"/>
      <c r="B577" s="3"/>
      <c r="C577" s="6"/>
      <c r="D577" s="6"/>
      <c r="E577" s="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1"/>
      <c r="B578" s="3"/>
      <c r="C578" s="6"/>
      <c r="D578" s="6"/>
      <c r="E578" s="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1"/>
      <c r="B579" s="3"/>
      <c r="C579" s="6"/>
      <c r="D579" s="6"/>
      <c r="E579" s="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1"/>
      <c r="B580" s="3"/>
      <c r="C580" s="6"/>
      <c r="D580" s="6"/>
      <c r="E580" s="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1"/>
      <c r="B581" s="3"/>
      <c r="C581" s="6"/>
      <c r="D581" s="6"/>
      <c r="E581" s="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1"/>
      <c r="B582" s="3"/>
      <c r="C582" s="6"/>
      <c r="D582" s="6"/>
      <c r="E582" s="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1"/>
      <c r="B583" s="3"/>
      <c r="C583" s="6"/>
      <c r="D583" s="6"/>
      <c r="E583" s="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1"/>
      <c r="B584" s="3"/>
      <c r="C584" s="6"/>
      <c r="D584" s="6"/>
      <c r="E584" s="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1"/>
      <c r="B585" s="3"/>
      <c r="C585" s="6"/>
      <c r="D585" s="6"/>
      <c r="E585" s="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1"/>
      <c r="B586" s="3"/>
      <c r="C586" s="6"/>
      <c r="D586" s="6"/>
      <c r="E586" s="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1"/>
      <c r="B587" s="3"/>
      <c r="C587" s="6"/>
      <c r="D587" s="6"/>
      <c r="E587" s="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1"/>
      <c r="B588" s="3"/>
      <c r="C588" s="6"/>
      <c r="D588" s="6"/>
      <c r="E588" s="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1"/>
      <c r="B589" s="3"/>
      <c r="C589" s="6"/>
      <c r="D589" s="6"/>
      <c r="E589" s="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1"/>
      <c r="B590" s="3"/>
      <c r="C590" s="6"/>
      <c r="D590" s="6"/>
      <c r="E590" s="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1"/>
      <c r="B591" s="3"/>
      <c r="C591" s="6"/>
      <c r="D591" s="6"/>
      <c r="E591" s="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1"/>
      <c r="B592" s="3"/>
      <c r="C592" s="6"/>
      <c r="D592" s="6"/>
      <c r="E592" s="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1"/>
      <c r="B593" s="3"/>
      <c r="C593" s="6"/>
      <c r="D593" s="6"/>
      <c r="E593" s="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1"/>
      <c r="B594" s="3"/>
      <c r="C594" s="6"/>
      <c r="D594" s="6"/>
      <c r="E594" s="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1"/>
      <c r="B595" s="3"/>
      <c r="C595" s="6"/>
      <c r="D595" s="6"/>
      <c r="E595" s="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1"/>
      <c r="B596" s="3"/>
      <c r="C596" s="6"/>
      <c r="D596" s="6"/>
      <c r="E596" s="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1"/>
      <c r="B597" s="3"/>
      <c r="C597" s="6"/>
      <c r="D597" s="6"/>
      <c r="E597" s="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1"/>
      <c r="B598" s="3"/>
      <c r="C598" s="6"/>
      <c r="D598" s="6"/>
      <c r="E598" s="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1"/>
      <c r="B599" s="3"/>
      <c r="C599" s="6"/>
      <c r="D599" s="6"/>
      <c r="E599" s="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1"/>
      <c r="B600" s="3"/>
      <c r="C600" s="6"/>
      <c r="D600" s="6"/>
      <c r="E600" s="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1"/>
      <c r="B601" s="3"/>
      <c r="C601" s="6"/>
      <c r="D601" s="6"/>
      <c r="E601" s="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1"/>
      <c r="B602" s="3"/>
      <c r="C602" s="6"/>
      <c r="D602" s="6"/>
      <c r="E602" s="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1"/>
      <c r="B603" s="3"/>
      <c r="C603" s="6"/>
      <c r="D603" s="6"/>
      <c r="E603" s="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1"/>
      <c r="B604" s="3"/>
      <c r="C604" s="6"/>
      <c r="D604" s="6"/>
      <c r="E604" s="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1"/>
      <c r="B605" s="3"/>
      <c r="C605" s="6"/>
      <c r="D605" s="6"/>
      <c r="E605" s="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1"/>
      <c r="B606" s="3"/>
      <c r="C606" s="6"/>
      <c r="D606" s="6"/>
      <c r="E606" s="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1"/>
      <c r="B607" s="3"/>
      <c r="C607" s="6"/>
      <c r="D607" s="6"/>
      <c r="E607" s="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1"/>
      <c r="B608" s="3"/>
      <c r="C608" s="6"/>
      <c r="D608" s="6"/>
      <c r="E608" s="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1"/>
      <c r="B609" s="3"/>
      <c r="C609" s="6"/>
      <c r="D609" s="6"/>
      <c r="E609" s="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1"/>
      <c r="B610" s="3"/>
      <c r="C610" s="6"/>
      <c r="D610" s="6"/>
      <c r="E610" s="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1"/>
      <c r="B611" s="3"/>
      <c r="C611" s="6"/>
      <c r="D611" s="6"/>
      <c r="E611" s="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1"/>
      <c r="B612" s="3"/>
      <c r="C612" s="6"/>
      <c r="D612" s="6"/>
      <c r="E612" s="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1"/>
      <c r="B613" s="3"/>
      <c r="C613" s="6"/>
      <c r="D613" s="6"/>
      <c r="E613" s="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1"/>
      <c r="B614" s="3"/>
      <c r="C614" s="6"/>
      <c r="D614" s="6"/>
      <c r="E614" s="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1"/>
      <c r="B615" s="3"/>
      <c r="C615" s="6"/>
      <c r="D615" s="6"/>
      <c r="E615" s="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1"/>
      <c r="B616" s="3"/>
      <c r="C616" s="6"/>
      <c r="D616" s="6"/>
      <c r="E616" s="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1"/>
      <c r="B617" s="3"/>
      <c r="C617" s="6"/>
      <c r="D617" s="6"/>
      <c r="E617" s="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1"/>
      <c r="B618" s="3"/>
      <c r="C618" s="6"/>
      <c r="D618" s="6"/>
      <c r="E618" s="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1"/>
      <c r="B619" s="3"/>
      <c r="C619" s="6"/>
      <c r="D619" s="6"/>
      <c r="E619" s="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1"/>
      <c r="B620" s="3"/>
      <c r="C620" s="6"/>
      <c r="D620" s="6"/>
      <c r="E620" s="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1"/>
      <c r="B621" s="3"/>
      <c r="C621" s="6"/>
      <c r="D621" s="6"/>
      <c r="E621" s="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1"/>
      <c r="B622" s="3"/>
      <c r="C622" s="6"/>
      <c r="D622" s="6"/>
      <c r="E622" s="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1"/>
      <c r="B623" s="3"/>
      <c r="C623" s="6"/>
      <c r="D623" s="6"/>
      <c r="E623" s="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1"/>
      <c r="B624" s="3"/>
      <c r="C624" s="6"/>
      <c r="D624" s="6"/>
      <c r="E624" s="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1"/>
      <c r="B625" s="3"/>
      <c r="C625" s="6"/>
      <c r="D625" s="6"/>
      <c r="E625" s="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1"/>
      <c r="B626" s="3"/>
      <c r="C626" s="6"/>
      <c r="D626" s="6"/>
      <c r="E626" s="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1"/>
      <c r="B627" s="3"/>
      <c r="C627" s="6"/>
      <c r="D627" s="6"/>
      <c r="E627" s="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1"/>
      <c r="B628" s="3"/>
      <c r="C628" s="6"/>
      <c r="D628" s="6"/>
      <c r="E628" s="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1"/>
      <c r="B629" s="3"/>
      <c r="C629" s="6"/>
      <c r="D629" s="6"/>
      <c r="E629" s="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1"/>
      <c r="B630" s="3"/>
      <c r="C630" s="6"/>
      <c r="D630" s="6"/>
      <c r="E630" s="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1"/>
      <c r="B631" s="3"/>
      <c r="C631" s="6"/>
      <c r="D631" s="6"/>
      <c r="E631" s="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1"/>
      <c r="B632" s="3"/>
      <c r="C632" s="6"/>
      <c r="D632" s="6"/>
      <c r="E632" s="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1"/>
      <c r="B633" s="3"/>
      <c r="C633" s="6"/>
      <c r="D633" s="6"/>
      <c r="E633" s="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1"/>
      <c r="B634" s="3"/>
      <c r="C634" s="6"/>
      <c r="D634" s="6"/>
      <c r="E634" s="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1"/>
      <c r="B635" s="3"/>
      <c r="C635" s="6"/>
      <c r="D635" s="6"/>
      <c r="E635" s="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1"/>
      <c r="B636" s="3"/>
      <c r="C636" s="6"/>
      <c r="D636" s="6"/>
      <c r="E636" s="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1"/>
      <c r="B637" s="3"/>
      <c r="C637" s="6"/>
      <c r="D637" s="6"/>
      <c r="E637" s="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1"/>
      <c r="B638" s="3"/>
      <c r="C638" s="6"/>
      <c r="D638" s="6"/>
      <c r="E638" s="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1"/>
      <c r="B639" s="3"/>
      <c r="C639" s="6"/>
      <c r="D639" s="6"/>
      <c r="E639" s="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1"/>
      <c r="B640" s="3"/>
      <c r="C640" s="6"/>
      <c r="D640" s="6"/>
      <c r="E640" s="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1"/>
      <c r="B641" s="3"/>
      <c r="C641" s="6"/>
      <c r="D641" s="6"/>
      <c r="E641" s="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1"/>
      <c r="B642" s="3"/>
      <c r="C642" s="6"/>
      <c r="D642" s="6"/>
      <c r="E642" s="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1"/>
      <c r="B643" s="3"/>
      <c r="C643" s="6"/>
      <c r="D643" s="6"/>
      <c r="E643" s="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1"/>
      <c r="B644" s="3"/>
      <c r="C644" s="6"/>
      <c r="D644" s="6"/>
      <c r="E644" s="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1"/>
      <c r="B645" s="3"/>
      <c r="C645" s="6"/>
      <c r="D645" s="6"/>
      <c r="E645" s="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1"/>
      <c r="B646" s="3"/>
      <c r="C646" s="6"/>
      <c r="D646" s="6"/>
      <c r="E646" s="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1"/>
      <c r="B647" s="3"/>
      <c r="C647" s="6"/>
      <c r="D647" s="6"/>
      <c r="E647" s="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1"/>
      <c r="B648" s="3"/>
      <c r="C648" s="6"/>
      <c r="D648" s="6"/>
      <c r="E648" s="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1"/>
      <c r="B649" s="3"/>
      <c r="C649" s="6"/>
      <c r="D649" s="6"/>
      <c r="E649" s="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1"/>
      <c r="B650" s="3"/>
      <c r="C650" s="6"/>
      <c r="D650" s="6"/>
      <c r="E650" s="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1"/>
      <c r="B651" s="3"/>
      <c r="C651" s="6"/>
      <c r="D651" s="6"/>
      <c r="E651" s="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1"/>
      <c r="B652" s="3"/>
      <c r="C652" s="6"/>
      <c r="D652" s="6"/>
      <c r="E652" s="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1"/>
      <c r="B653" s="3"/>
      <c r="C653" s="6"/>
      <c r="D653" s="6"/>
      <c r="E653" s="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1"/>
      <c r="B654" s="3"/>
      <c r="C654" s="6"/>
      <c r="D654" s="6"/>
      <c r="E654" s="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1"/>
      <c r="B655" s="3"/>
      <c r="C655" s="6"/>
      <c r="D655" s="6"/>
      <c r="E655" s="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1"/>
      <c r="B656" s="3"/>
      <c r="C656" s="6"/>
      <c r="D656" s="6"/>
      <c r="E656" s="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1"/>
      <c r="B657" s="3"/>
      <c r="C657" s="6"/>
      <c r="D657" s="6"/>
      <c r="E657" s="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1"/>
      <c r="B658" s="3"/>
      <c r="C658" s="6"/>
      <c r="D658" s="6"/>
      <c r="E658" s="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1"/>
      <c r="B659" s="3"/>
      <c r="C659" s="6"/>
      <c r="D659" s="6"/>
      <c r="E659" s="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1"/>
      <c r="B660" s="3"/>
      <c r="C660" s="6"/>
      <c r="D660" s="6"/>
      <c r="E660" s="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1"/>
      <c r="B661" s="3"/>
      <c r="C661" s="6"/>
      <c r="D661" s="6"/>
      <c r="E661" s="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1"/>
      <c r="B662" s="3"/>
      <c r="C662" s="6"/>
      <c r="D662" s="6"/>
      <c r="E662" s="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1"/>
      <c r="B663" s="3"/>
      <c r="C663" s="6"/>
      <c r="D663" s="6"/>
      <c r="E663" s="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1"/>
      <c r="B664" s="3"/>
      <c r="C664" s="6"/>
      <c r="D664" s="6"/>
      <c r="E664" s="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1"/>
      <c r="B665" s="3"/>
      <c r="C665" s="6"/>
      <c r="D665" s="6"/>
      <c r="E665" s="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1"/>
      <c r="B666" s="3"/>
      <c r="C666" s="6"/>
      <c r="D666" s="6"/>
      <c r="E666" s="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1"/>
      <c r="B667" s="3"/>
      <c r="C667" s="6"/>
      <c r="D667" s="6"/>
      <c r="E667" s="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1"/>
      <c r="B668" s="3"/>
      <c r="C668" s="6"/>
      <c r="D668" s="6"/>
      <c r="E668" s="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1"/>
      <c r="B669" s="3"/>
      <c r="C669" s="6"/>
      <c r="D669" s="6"/>
      <c r="E669" s="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1"/>
      <c r="B670" s="3"/>
      <c r="C670" s="6"/>
      <c r="D670" s="6"/>
      <c r="E670" s="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1"/>
      <c r="B671" s="3"/>
      <c r="C671" s="6"/>
      <c r="D671" s="6"/>
      <c r="E671" s="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1"/>
      <c r="B672" s="3"/>
      <c r="C672" s="6"/>
      <c r="D672" s="6"/>
      <c r="E672" s="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1"/>
      <c r="B673" s="3"/>
      <c r="C673" s="6"/>
      <c r="D673" s="6"/>
      <c r="E673" s="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1"/>
      <c r="B674" s="3"/>
      <c r="C674" s="6"/>
      <c r="D674" s="6"/>
      <c r="E674" s="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1"/>
      <c r="B675" s="3"/>
      <c r="C675" s="6"/>
      <c r="D675" s="6"/>
      <c r="E675" s="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1"/>
      <c r="B676" s="3"/>
      <c r="C676" s="6"/>
      <c r="D676" s="6"/>
      <c r="E676" s="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1"/>
      <c r="B677" s="3"/>
      <c r="C677" s="6"/>
      <c r="D677" s="6"/>
      <c r="E677" s="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1"/>
      <c r="B678" s="3"/>
      <c r="C678" s="6"/>
      <c r="D678" s="6"/>
      <c r="E678" s="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1"/>
      <c r="B679" s="3"/>
      <c r="C679" s="6"/>
      <c r="D679" s="6"/>
      <c r="E679" s="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1"/>
      <c r="B680" s="3"/>
      <c r="C680" s="6"/>
      <c r="D680" s="6"/>
      <c r="E680" s="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1"/>
      <c r="B681" s="3"/>
      <c r="C681" s="6"/>
      <c r="D681" s="6"/>
      <c r="E681" s="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1"/>
      <c r="B682" s="3"/>
      <c r="C682" s="6"/>
      <c r="D682" s="6"/>
      <c r="E682" s="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1"/>
      <c r="B683" s="3"/>
      <c r="C683" s="6"/>
      <c r="D683" s="6"/>
      <c r="E683" s="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1"/>
      <c r="B684" s="3"/>
      <c r="C684" s="6"/>
      <c r="D684" s="6"/>
      <c r="E684" s="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1"/>
      <c r="B685" s="3"/>
      <c r="C685" s="6"/>
      <c r="D685" s="6"/>
      <c r="E685" s="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1"/>
      <c r="B686" s="3"/>
      <c r="C686" s="6"/>
      <c r="D686" s="6"/>
      <c r="E686" s="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1"/>
      <c r="B687" s="3"/>
      <c r="C687" s="6"/>
      <c r="D687" s="6"/>
      <c r="E687" s="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1"/>
      <c r="B688" s="3"/>
      <c r="C688" s="6"/>
      <c r="D688" s="6"/>
      <c r="E688" s="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1"/>
      <c r="B689" s="3"/>
      <c r="C689" s="6"/>
      <c r="D689" s="6"/>
      <c r="E689" s="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1"/>
      <c r="B690" s="3"/>
      <c r="C690" s="6"/>
      <c r="D690" s="6"/>
      <c r="E690" s="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1"/>
      <c r="B691" s="3"/>
      <c r="C691" s="6"/>
      <c r="D691" s="6"/>
      <c r="E691" s="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1"/>
      <c r="B692" s="3"/>
      <c r="C692" s="6"/>
      <c r="D692" s="6"/>
      <c r="E692" s="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1"/>
      <c r="B693" s="3"/>
      <c r="C693" s="6"/>
      <c r="D693" s="6"/>
      <c r="E693" s="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1"/>
      <c r="B694" s="3"/>
      <c r="C694" s="6"/>
      <c r="D694" s="6"/>
      <c r="E694" s="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1"/>
      <c r="B695" s="3"/>
      <c r="C695" s="6"/>
      <c r="D695" s="6"/>
      <c r="E695" s="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1"/>
      <c r="B696" s="3"/>
      <c r="C696" s="6"/>
      <c r="D696" s="6"/>
      <c r="E696" s="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1"/>
      <c r="B697" s="3"/>
      <c r="C697" s="6"/>
      <c r="D697" s="6"/>
      <c r="E697" s="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1"/>
      <c r="B698" s="3"/>
      <c r="C698" s="6"/>
      <c r="D698" s="6"/>
      <c r="E698" s="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1"/>
      <c r="B699" s="3"/>
      <c r="C699" s="6"/>
      <c r="D699" s="6"/>
      <c r="E699" s="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1"/>
      <c r="B700" s="3"/>
      <c r="C700" s="6"/>
      <c r="D700" s="6"/>
      <c r="E700" s="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1"/>
      <c r="B701" s="3"/>
      <c r="C701" s="6"/>
      <c r="D701" s="6"/>
      <c r="E701" s="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1"/>
      <c r="B702" s="3"/>
      <c r="C702" s="6"/>
      <c r="D702" s="6"/>
      <c r="E702" s="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1"/>
      <c r="B703" s="3"/>
      <c r="C703" s="6"/>
      <c r="D703" s="6"/>
      <c r="E703" s="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1"/>
      <c r="B704" s="3"/>
      <c r="C704" s="6"/>
      <c r="D704" s="6"/>
      <c r="E704" s="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1"/>
      <c r="B705" s="3"/>
      <c r="C705" s="6"/>
      <c r="D705" s="6"/>
      <c r="E705" s="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1"/>
      <c r="B706" s="3"/>
      <c r="C706" s="6"/>
      <c r="D706" s="6"/>
      <c r="E706" s="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1"/>
      <c r="B707" s="3"/>
      <c r="C707" s="6"/>
      <c r="D707" s="6"/>
      <c r="E707" s="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1"/>
      <c r="B708" s="3"/>
      <c r="C708" s="6"/>
      <c r="D708" s="6"/>
      <c r="E708" s="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1"/>
      <c r="B709" s="3"/>
      <c r="C709" s="6"/>
      <c r="D709" s="6"/>
      <c r="E709" s="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1"/>
      <c r="B710" s="3"/>
      <c r="C710" s="6"/>
      <c r="D710" s="6"/>
      <c r="E710" s="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1"/>
      <c r="B711" s="3"/>
      <c r="C711" s="6"/>
      <c r="D711" s="6"/>
      <c r="E711" s="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1"/>
      <c r="B712" s="3"/>
      <c r="C712" s="6"/>
      <c r="D712" s="6"/>
      <c r="E712" s="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1"/>
      <c r="B713" s="3"/>
      <c r="C713" s="6"/>
      <c r="D713" s="6"/>
      <c r="E713" s="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1"/>
      <c r="B714" s="3"/>
      <c r="C714" s="6"/>
      <c r="D714" s="6"/>
      <c r="E714" s="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1"/>
      <c r="B715" s="3"/>
      <c r="C715" s="6"/>
      <c r="D715" s="6"/>
      <c r="E715" s="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1"/>
      <c r="B716" s="3"/>
      <c r="C716" s="6"/>
      <c r="D716" s="6"/>
      <c r="E716" s="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1"/>
      <c r="B717" s="3"/>
      <c r="C717" s="6"/>
      <c r="D717" s="6"/>
      <c r="E717" s="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1"/>
      <c r="B718" s="3"/>
      <c r="C718" s="6"/>
      <c r="D718" s="6"/>
      <c r="E718" s="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1"/>
      <c r="B719" s="3"/>
      <c r="C719" s="6"/>
      <c r="D719" s="6"/>
      <c r="E719" s="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1"/>
      <c r="B720" s="3"/>
      <c r="C720" s="6"/>
      <c r="D720" s="6"/>
      <c r="E720" s="7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1"/>
      <c r="B721" s="3"/>
      <c r="C721" s="6"/>
      <c r="D721" s="6"/>
      <c r="E721" s="7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1"/>
      <c r="B722" s="3"/>
      <c r="C722" s="6"/>
      <c r="D722" s="6"/>
      <c r="E722" s="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1"/>
      <c r="B723" s="3"/>
      <c r="C723" s="6"/>
      <c r="D723" s="6"/>
      <c r="E723" s="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1"/>
      <c r="B724" s="3"/>
      <c r="C724" s="6"/>
      <c r="D724" s="6"/>
      <c r="E724" s="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1"/>
      <c r="B725" s="3"/>
      <c r="C725" s="6"/>
      <c r="D725" s="6"/>
      <c r="E725" s="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1"/>
      <c r="B726" s="3"/>
      <c r="C726" s="6"/>
      <c r="D726" s="6"/>
      <c r="E726" s="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1"/>
      <c r="B727" s="3"/>
      <c r="C727" s="6"/>
      <c r="D727" s="6"/>
      <c r="E727" s="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1"/>
      <c r="B728" s="3"/>
      <c r="C728" s="6"/>
      <c r="D728" s="6"/>
      <c r="E728" s="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1"/>
      <c r="B729" s="3"/>
      <c r="C729" s="6"/>
      <c r="D729" s="6"/>
      <c r="E729" s="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1"/>
      <c r="B730" s="3"/>
      <c r="C730" s="6"/>
      <c r="D730" s="6"/>
      <c r="E730" s="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1"/>
      <c r="B731" s="3"/>
      <c r="C731" s="6"/>
      <c r="D731" s="6"/>
      <c r="E731" s="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1"/>
      <c r="B732" s="3"/>
      <c r="C732" s="6"/>
      <c r="D732" s="6"/>
      <c r="E732" s="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1"/>
      <c r="B733" s="3"/>
      <c r="C733" s="6"/>
      <c r="D733" s="6"/>
      <c r="E733" s="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1"/>
      <c r="B734" s="3"/>
      <c r="C734" s="6"/>
      <c r="D734" s="6"/>
      <c r="E734" s="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1"/>
      <c r="B735" s="3"/>
      <c r="C735" s="6"/>
      <c r="D735" s="6"/>
      <c r="E735" s="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1"/>
      <c r="B736" s="3"/>
      <c r="C736" s="6"/>
      <c r="D736" s="6"/>
      <c r="E736" s="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1"/>
      <c r="B737" s="3"/>
      <c r="C737" s="6"/>
      <c r="D737" s="6"/>
      <c r="E737" s="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1"/>
      <c r="B738" s="3"/>
      <c r="C738" s="6"/>
      <c r="D738" s="6"/>
      <c r="E738" s="7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1"/>
      <c r="B739" s="3"/>
      <c r="C739" s="6"/>
      <c r="D739" s="6"/>
      <c r="E739" s="7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1"/>
      <c r="B740" s="3"/>
      <c r="C740" s="6"/>
      <c r="D740" s="6"/>
      <c r="E740" s="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1"/>
      <c r="B741" s="3"/>
      <c r="C741" s="6"/>
      <c r="D741" s="6"/>
      <c r="E741" s="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1"/>
      <c r="B742" s="3"/>
      <c r="C742" s="6"/>
      <c r="D742" s="6"/>
      <c r="E742" s="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1"/>
      <c r="B743" s="3"/>
      <c r="C743" s="6"/>
      <c r="D743" s="6"/>
      <c r="E743" s="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1"/>
      <c r="B744" s="3"/>
      <c r="C744" s="6"/>
      <c r="D744" s="6"/>
      <c r="E744" s="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1"/>
      <c r="B745" s="3"/>
      <c r="C745" s="6"/>
      <c r="D745" s="6"/>
      <c r="E745" s="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1"/>
      <c r="B746" s="3"/>
      <c r="C746" s="6"/>
      <c r="D746" s="6"/>
      <c r="E746" s="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1"/>
      <c r="B747" s="3"/>
      <c r="C747" s="6"/>
      <c r="D747" s="6"/>
      <c r="E747" s="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1"/>
      <c r="B748" s="3"/>
      <c r="C748" s="6"/>
      <c r="D748" s="6"/>
      <c r="E748" s="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1"/>
      <c r="B749" s="3"/>
      <c r="C749" s="6"/>
      <c r="D749" s="6"/>
      <c r="E749" s="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1"/>
      <c r="B750" s="3"/>
      <c r="C750" s="6"/>
      <c r="D750" s="6"/>
      <c r="E750" s="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1"/>
      <c r="B751" s="3"/>
      <c r="C751" s="6"/>
      <c r="D751" s="6"/>
      <c r="E751" s="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1"/>
      <c r="B752" s="3"/>
      <c r="C752" s="6"/>
      <c r="D752" s="6"/>
      <c r="E752" s="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1"/>
      <c r="B753" s="3"/>
      <c r="C753" s="6"/>
      <c r="D753" s="6"/>
      <c r="E753" s="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1"/>
      <c r="B754" s="3"/>
      <c r="C754" s="6"/>
      <c r="D754" s="6"/>
      <c r="E754" s="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1"/>
      <c r="B755" s="3"/>
      <c r="C755" s="6"/>
      <c r="D755" s="6"/>
      <c r="E755" s="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1"/>
      <c r="B756" s="3"/>
      <c r="C756" s="6"/>
      <c r="D756" s="6"/>
      <c r="E756" s="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1"/>
      <c r="B757" s="3"/>
      <c r="C757" s="6"/>
      <c r="D757" s="6"/>
      <c r="E757" s="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1"/>
      <c r="B758" s="3"/>
      <c r="C758" s="6"/>
      <c r="D758" s="6"/>
      <c r="E758" s="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1"/>
      <c r="B759" s="3"/>
      <c r="C759" s="6"/>
      <c r="D759" s="6"/>
      <c r="E759" s="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1"/>
      <c r="B760" s="3"/>
      <c r="C760" s="6"/>
      <c r="D760" s="6"/>
      <c r="E760" s="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1"/>
      <c r="B761" s="3"/>
      <c r="C761" s="6"/>
      <c r="D761" s="6"/>
      <c r="E761" s="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1"/>
      <c r="B762" s="3"/>
      <c r="C762" s="6"/>
      <c r="D762" s="6"/>
      <c r="E762" s="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1"/>
      <c r="B763" s="3"/>
      <c r="C763" s="6"/>
      <c r="D763" s="6"/>
      <c r="E763" s="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1"/>
      <c r="B764" s="3"/>
      <c r="C764" s="6"/>
      <c r="D764" s="6"/>
      <c r="E764" s="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1"/>
      <c r="B765" s="3"/>
      <c r="C765" s="6"/>
      <c r="D765" s="6"/>
      <c r="E765" s="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1"/>
      <c r="B766" s="3"/>
      <c r="C766" s="6"/>
      <c r="D766" s="6"/>
      <c r="E766" s="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1"/>
      <c r="B767" s="3"/>
      <c r="C767" s="6"/>
      <c r="D767" s="6"/>
      <c r="E767" s="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1"/>
      <c r="B768" s="3"/>
      <c r="C768" s="6"/>
      <c r="D768" s="6"/>
      <c r="E768" s="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1"/>
      <c r="B769" s="3"/>
      <c r="C769" s="6"/>
      <c r="D769" s="6"/>
      <c r="E769" s="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1"/>
      <c r="B770" s="3"/>
      <c r="C770" s="6"/>
      <c r="D770" s="6"/>
      <c r="E770" s="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1"/>
      <c r="B771" s="3"/>
      <c r="C771" s="6"/>
      <c r="D771" s="6"/>
      <c r="E771" s="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1"/>
      <c r="B772" s="3"/>
      <c r="C772" s="6"/>
      <c r="D772" s="6"/>
      <c r="E772" s="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1"/>
      <c r="B773" s="3"/>
      <c r="C773" s="6"/>
      <c r="D773" s="6"/>
      <c r="E773" s="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1"/>
      <c r="B774" s="3"/>
      <c r="C774" s="6"/>
      <c r="D774" s="6"/>
      <c r="E774" s="7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1"/>
      <c r="B775" s="3"/>
      <c r="C775" s="6"/>
      <c r="D775" s="6"/>
      <c r="E775" s="7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1"/>
      <c r="B776" s="3"/>
      <c r="C776" s="6"/>
      <c r="D776" s="6"/>
      <c r="E776" s="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1"/>
      <c r="B777" s="3"/>
      <c r="C777" s="6"/>
      <c r="D777" s="6"/>
      <c r="E777" s="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1"/>
      <c r="B778" s="3"/>
      <c r="C778" s="6"/>
      <c r="D778" s="6"/>
      <c r="E778" s="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1"/>
      <c r="B779" s="3"/>
      <c r="C779" s="6"/>
      <c r="D779" s="6"/>
      <c r="E779" s="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1"/>
      <c r="B780" s="3"/>
      <c r="C780" s="6"/>
      <c r="D780" s="6"/>
      <c r="E780" s="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1"/>
      <c r="B781" s="3"/>
      <c r="C781" s="6"/>
      <c r="D781" s="6"/>
      <c r="E781" s="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1"/>
      <c r="B782" s="3"/>
      <c r="C782" s="6"/>
      <c r="D782" s="6"/>
      <c r="E782" s="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1"/>
      <c r="B783" s="3"/>
      <c r="C783" s="6"/>
      <c r="D783" s="6"/>
      <c r="E783" s="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1"/>
      <c r="B784" s="3"/>
      <c r="C784" s="6"/>
      <c r="D784" s="6"/>
      <c r="E784" s="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1"/>
      <c r="B785" s="3"/>
      <c r="C785" s="6"/>
      <c r="D785" s="6"/>
      <c r="E785" s="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1"/>
      <c r="B786" s="3"/>
      <c r="C786" s="6"/>
      <c r="D786" s="6"/>
      <c r="E786" s="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1"/>
      <c r="B787" s="3"/>
      <c r="C787" s="6"/>
      <c r="D787" s="6"/>
      <c r="E787" s="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1"/>
      <c r="B788" s="3"/>
      <c r="C788" s="6"/>
      <c r="D788" s="6"/>
      <c r="E788" s="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1"/>
      <c r="B789" s="3"/>
      <c r="C789" s="6"/>
      <c r="D789" s="6"/>
      <c r="E789" s="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1"/>
      <c r="B790" s="3"/>
      <c r="C790" s="6"/>
      <c r="D790" s="6"/>
      <c r="E790" s="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1"/>
      <c r="B791" s="3"/>
      <c r="C791" s="6"/>
      <c r="D791" s="6"/>
      <c r="E791" s="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1"/>
      <c r="B792" s="3"/>
      <c r="C792" s="6"/>
      <c r="D792" s="6"/>
      <c r="E792" s="7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1"/>
      <c r="B793" s="3"/>
      <c r="C793" s="6"/>
      <c r="D793" s="6"/>
      <c r="E793" s="7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1"/>
      <c r="B794" s="3"/>
      <c r="C794" s="6"/>
      <c r="D794" s="6"/>
      <c r="E794" s="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1"/>
      <c r="B795" s="3"/>
      <c r="C795" s="6"/>
      <c r="D795" s="6"/>
      <c r="E795" s="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1"/>
      <c r="B796" s="3"/>
      <c r="C796" s="6"/>
      <c r="D796" s="6"/>
      <c r="E796" s="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1"/>
      <c r="B797" s="3"/>
      <c r="C797" s="6"/>
      <c r="D797" s="6"/>
      <c r="E797" s="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1"/>
      <c r="B798" s="3"/>
      <c r="C798" s="6"/>
      <c r="D798" s="6"/>
      <c r="E798" s="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1"/>
      <c r="B799" s="3"/>
      <c r="C799" s="6"/>
      <c r="D799" s="6"/>
      <c r="E799" s="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1"/>
      <c r="B800" s="3"/>
      <c r="C800" s="6"/>
      <c r="D800" s="6"/>
      <c r="E800" s="7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1"/>
      <c r="B801" s="3"/>
      <c r="C801" s="6"/>
      <c r="D801" s="6"/>
      <c r="E801" s="7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1"/>
      <c r="B802" s="3"/>
      <c r="C802" s="6"/>
      <c r="D802" s="6"/>
      <c r="E802" s="7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1"/>
      <c r="B803" s="3"/>
      <c r="C803" s="6"/>
      <c r="D803" s="6"/>
      <c r="E803" s="7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1"/>
      <c r="B804" s="3"/>
      <c r="C804" s="6"/>
      <c r="D804" s="6"/>
      <c r="E804" s="7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1"/>
      <c r="B805" s="3"/>
      <c r="C805" s="6"/>
      <c r="D805" s="6"/>
      <c r="E805" s="7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1"/>
      <c r="B806" s="3"/>
      <c r="C806" s="6"/>
      <c r="D806" s="6"/>
      <c r="E806" s="7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1"/>
      <c r="B807" s="3"/>
      <c r="C807" s="6"/>
      <c r="D807" s="6"/>
      <c r="E807" s="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1"/>
      <c r="B808" s="3"/>
      <c r="C808" s="6"/>
      <c r="D808" s="6"/>
      <c r="E808" s="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1"/>
      <c r="B809" s="3"/>
      <c r="C809" s="6"/>
      <c r="D809" s="6"/>
      <c r="E809" s="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1"/>
      <c r="B810" s="3"/>
      <c r="C810" s="6"/>
      <c r="D810" s="6"/>
      <c r="E810" s="7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1"/>
      <c r="B811" s="3"/>
      <c r="C811" s="6"/>
      <c r="D811" s="6"/>
      <c r="E811" s="7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1"/>
      <c r="B812" s="3"/>
      <c r="C812" s="6"/>
      <c r="D812" s="6"/>
      <c r="E812" s="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1"/>
      <c r="B813" s="3"/>
      <c r="C813" s="6"/>
      <c r="D813" s="6"/>
      <c r="E813" s="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1"/>
      <c r="B814" s="3"/>
      <c r="C814" s="6"/>
      <c r="D814" s="6"/>
      <c r="E814" s="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1"/>
      <c r="B815" s="3"/>
      <c r="C815" s="6"/>
      <c r="D815" s="6"/>
      <c r="E815" s="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1"/>
      <c r="B816" s="3"/>
      <c r="C816" s="6"/>
      <c r="D816" s="6"/>
      <c r="E816" s="7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1"/>
      <c r="B817" s="3"/>
      <c r="C817" s="6"/>
      <c r="D817" s="6"/>
      <c r="E817" s="7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1"/>
      <c r="B818" s="3"/>
      <c r="C818" s="6"/>
      <c r="D818" s="6"/>
      <c r="E818" s="7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1"/>
      <c r="B819" s="3"/>
      <c r="C819" s="6"/>
      <c r="D819" s="6"/>
      <c r="E819" s="7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1"/>
      <c r="B820" s="3"/>
      <c r="C820" s="6"/>
      <c r="D820" s="6"/>
      <c r="E820" s="7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1"/>
      <c r="B821" s="3"/>
      <c r="C821" s="6"/>
      <c r="D821" s="6"/>
      <c r="E821" s="7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1"/>
      <c r="B822" s="3"/>
      <c r="C822" s="6"/>
      <c r="D822" s="6"/>
      <c r="E822" s="7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1"/>
      <c r="B823" s="3"/>
      <c r="C823" s="6"/>
      <c r="D823" s="6"/>
      <c r="E823" s="7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1"/>
      <c r="B824" s="3"/>
      <c r="C824" s="6"/>
      <c r="D824" s="6"/>
      <c r="E824" s="7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1"/>
      <c r="B825" s="3"/>
      <c r="C825" s="6"/>
      <c r="D825" s="6"/>
      <c r="E825" s="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1"/>
      <c r="B826" s="3"/>
      <c r="C826" s="6"/>
      <c r="D826" s="6"/>
      <c r="E826" s="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1"/>
      <c r="B827" s="3"/>
      <c r="C827" s="6"/>
      <c r="D827" s="6"/>
      <c r="E827" s="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1"/>
      <c r="B828" s="3"/>
      <c r="C828" s="6"/>
      <c r="D828" s="6"/>
      <c r="E828" s="7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1"/>
      <c r="B829" s="3"/>
      <c r="C829" s="6"/>
      <c r="D829" s="6"/>
      <c r="E829" s="7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1"/>
      <c r="B830" s="3"/>
      <c r="C830" s="6"/>
      <c r="D830" s="6"/>
      <c r="E830" s="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1"/>
      <c r="B831" s="3"/>
      <c r="C831" s="6"/>
      <c r="D831" s="6"/>
      <c r="E831" s="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1"/>
      <c r="B832" s="3"/>
      <c r="C832" s="6"/>
      <c r="D832" s="6"/>
      <c r="E832" s="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1"/>
      <c r="B833" s="3"/>
      <c r="C833" s="6"/>
      <c r="D833" s="6"/>
      <c r="E833" s="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1"/>
      <c r="B834" s="3"/>
      <c r="C834" s="6"/>
      <c r="D834" s="6"/>
      <c r="E834" s="7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1"/>
      <c r="B835" s="3"/>
      <c r="C835" s="6"/>
      <c r="D835" s="6"/>
      <c r="E835" s="7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1"/>
      <c r="B836" s="3"/>
      <c r="C836" s="6"/>
      <c r="D836" s="6"/>
      <c r="E836" s="7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1"/>
      <c r="B837" s="3"/>
      <c r="C837" s="6"/>
      <c r="D837" s="6"/>
      <c r="E837" s="7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1"/>
      <c r="B838" s="3"/>
      <c r="C838" s="6"/>
      <c r="D838" s="6"/>
      <c r="E838" s="7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1"/>
      <c r="B839" s="3"/>
      <c r="C839" s="6"/>
      <c r="D839" s="6"/>
      <c r="E839" s="7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1"/>
      <c r="B840" s="3"/>
      <c r="C840" s="6"/>
      <c r="D840" s="6"/>
      <c r="E840" s="7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1"/>
      <c r="B841" s="3"/>
      <c r="C841" s="6"/>
      <c r="D841" s="6"/>
      <c r="E841" s="7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1"/>
      <c r="B842" s="3"/>
      <c r="C842" s="6"/>
      <c r="D842" s="6"/>
      <c r="E842" s="7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1"/>
      <c r="B843" s="3"/>
      <c r="C843" s="6"/>
      <c r="D843" s="6"/>
      <c r="E843" s="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1"/>
      <c r="B844" s="3"/>
      <c r="C844" s="6"/>
      <c r="D844" s="6"/>
      <c r="E844" s="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1"/>
      <c r="B845" s="3"/>
      <c r="C845" s="6"/>
      <c r="D845" s="6"/>
      <c r="E845" s="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1"/>
      <c r="B846" s="3"/>
      <c r="C846" s="6"/>
      <c r="D846" s="6"/>
      <c r="E846" s="7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1"/>
      <c r="B847" s="3"/>
      <c r="C847" s="6"/>
      <c r="D847" s="6"/>
      <c r="E847" s="7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1"/>
      <c r="B848" s="3"/>
      <c r="C848" s="6"/>
      <c r="D848" s="6"/>
      <c r="E848" s="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1"/>
      <c r="B849" s="3"/>
      <c r="C849" s="6"/>
      <c r="D849" s="6"/>
      <c r="E849" s="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1"/>
      <c r="B850" s="3"/>
      <c r="C850" s="6"/>
      <c r="D850" s="6"/>
      <c r="E850" s="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1"/>
      <c r="B851" s="3"/>
      <c r="C851" s="6"/>
      <c r="D851" s="6"/>
      <c r="E851" s="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1"/>
      <c r="B852" s="3"/>
      <c r="C852" s="6"/>
      <c r="D852" s="6"/>
      <c r="E852" s="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1"/>
      <c r="B853" s="3"/>
      <c r="C853" s="6"/>
      <c r="D853" s="6"/>
      <c r="E853" s="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1"/>
      <c r="B854" s="3"/>
      <c r="C854" s="6"/>
      <c r="D854" s="6"/>
      <c r="E854" s="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1"/>
      <c r="B855" s="3"/>
      <c r="C855" s="6"/>
      <c r="D855" s="6"/>
      <c r="E855" s="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1"/>
      <c r="B856" s="3"/>
      <c r="C856" s="6"/>
      <c r="D856" s="6"/>
      <c r="E856" s="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1"/>
      <c r="B857" s="3"/>
      <c r="C857" s="6"/>
      <c r="D857" s="6"/>
      <c r="E857" s="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1"/>
      <c r="B858" s="3"/>
      <c r="C858" s="6"/>
      <c r="D858" s="6"/>
      <c r="E858" s="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1"/>
      <c r="B859" s="3"/>
      <c r="C859" s="6"/>
      <c r="D859" s="6"/>
      <c r="E859" s="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1"/>
      <c r="B860" s="3"/>
      <c r="C860" s="6"/>
      <c r="D860" s="6"/>
      <c r="E860" s="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1"/>
      <c r="B861" s="3"/>
      <c r="C861" s="6"/>
      <c r="D861" s="6"/>
      <c r="E861" s="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1"/>
      <c r="B862" s="3"/>
      <c r="C862" s="6"/>
      <c r="D862" s="6"/>
      <c r="E862" s="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1"/>
      <c r="B863" s="3"/>
      <c r="C863" s="6"/>
      <c r="D863" s="6"/>
      <c r="E863" s="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1"/>
      <c r="B864" s="3"/>
      <c r="C864" s="6"/>
      <c r="D864" s="6"/>
      <c r="E864" s="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1"/>
      <c r="B865" s="3"/>
      <c r="C865" s="6"/>
      <c r="D865" s="6"/>
      <c r="E865" s="7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1"/>
      <c r="B866" s="3"/>
      <c r="C866" s="6"/>
      <c r="D866" s="6"/>
      <c r="E866" s="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1"/>
      <c r="B867" s="3"/>
      <c r="C867" s="6"/>
      <c r="D867" s="6"/>
      <c r="E867" s="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1"/>
      <c r="B868" s="3"/>
      <c r="C868" s="6"/>
      <c r="D868" s="6"/>
      <c r="E868" s="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1"/>
      <c r="B869" s="3"/>
      <c r="C869" s="6"/>
      <c r="D869" s="6"/>
      <c r="E869" s="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1"/>
      <c r="B870" s="3"/>
      <c r="C870" s="6"/>
      <c r="D870" s="6"/>
      <c r="E870" s="7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1"/>
      <c r="B871" s="3"/>
      <c r="C871" s="6"/>
      <c r="D871" s="6"/>
      <c r="E871" s="7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1"/>
      <c r="B872" s="3"/>
      <c r="C872" s="6"/>
      <c r="D872" s="6"/>
      <c r="E872" s="7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1"/>
      <c r="B873" s="3"/>
      <c r="C873" s="6"/>
      <c r="D873" s="6"/>
      <c r="E873" s="7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1"/>
      <c r="B874" s="3"/>
      <c r="C874" s="6"/>
      <c r="D874" s="6"/>
      <c r="E874" s="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1"/>
      <c r="B875" s="3"/>
      <c r="C875" s="6"/>
      <c r="D875" s="6"/>
      <c r="E875" s="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1"/>
      <c r="B876" s="3"/>
      <c r="C876" s="6"/>
      <c r="D876" s="6"/>
      <c r="E876" s="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1"/>
      <c r="B877" s="3"/>
      <c r="C877" s="6"/>
      <c r="D877" s="6"/>
      <c r="E877" s="7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1"/>
      <c r="B878" s="3"/>
      <c r="C878" s="6"/>
      <c r="D878" s="6"/>
      <c r="E878" s="7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1"/>
      <c r="B879" s="3"/>
      <c r="C879" s="6"/>
      <c r="D879" s="6"/>
      <c r="E879" s="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1"/>
      <c r="B880" s="3"/>
      <c r="C880" s="6"/>
      <c r="D880" s="6"/>
      <c r="E880" s="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1"/>
      <c r="B881" s="3"/>
      <c r="C881" s="6"/>
      <c r="D881" s="6"/>
      <c r="E881" s="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1"/>
      <c r="B882" s="3"/>
      <c r="C882" s="6"/>
      <c r="D882" s="6"/>
      <c r="E882" s="7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1"/>
      <c r="B883" s="3"/>
      <c r="C883" s="6"/>
      <c r="D883" s="6"/>
      <c r="E883" s="7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1"/>
      <c r="B884" s="3"/>
      <c r="C884" s="6"/>
      <c r="D884" s="6"/>
      <c r="E884" s="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1"/>
      <c r="B885" s="3"/>
      <c r="C885" s="6"/>
      <c r="D885" s="6"/>
      <c r="E885" s="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1"/>
      <c r="B886" s="3"/>
      <c r="C886" s="6"/>
      <c r="D886" s="6"/>
      <c r="E886" s="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1"/>
      <c r="B887" s="3"/>
      <c r="C887" s="6"/>
      <c r="D887" s="6"/>
      <c r="E887" s="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1"/>
      <c r="B888" s="3"/>
      <c r="C888" s="6"/>
      <c r="D888" s="6"/>
      <c r="E888" s="7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1"/>
      <c r="B889" s="3"/>
      <c r="C889" s="6"/>
      <c r="D889" s="6"/>
      <c r="E889" s="7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1"/>
      <c r="B890" s="3"/>
      <c r="C890" s="6"/>
      <c r="D890" s="6"/>
      <c r="E890" s="7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1"/>
      <c r="B891" s="3"/>
      <c r="C891" s="6"/>
      <c r="D891" s="6"/>
      <c r="E891" s="7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1"/>
      <c r="B892" s="3"/>
      <c r="C892" s="6"/>
      <c r="D892" s="6"/>
      <c r="E892" s="7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1"/>
      <c r="B893" s="3"/>
      <c r="C893" s="6"/>
      <c r="D893" s="6"/>
      <c r="E893" s="7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1"/>
      <c r="B894" s="3"/>
      <c r="C894" s="6"/>
      <c r="D894" s="6"/>
      <c r="E894" s="7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1"/>
      <c r="B895" s="3"/>
      <c r="C895" s="6"/>
      <c r="D895" s="6"/>
      <c r="E895" s="7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1"/>
      <c r="B896" s="3"/>
      <c r="C896" s="6"/>
      <c r="D896" s="6"/>
      <c r="E896" s="7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1"/>
      <c r="B897" s="3"/>
      <c r="C897" s="6"/>
      <c r="D897" s="6"/>
      <c r="E897" s="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1"/>
      <c r="B898" s="3"/>
      <c r="C898" s="6"/>
      <c r="D898" s="6"/>
      <c r="E898" s="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1"/>
      <c r="B899" s="3"/>
      <c r="C899" s="6"/>
      <c r="D899" s="6"/>
      <c r="E899" s="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1"/>
      <c r="B900" s="3"/>
      <c r="C900" s="6"/>
      <c r="D900" s="6"/>
      <c r="E900" s="7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1"/>
      <c r="B901" s="3"/>
      <c r="C901" s="6"/>
      <c r="D901" s="6"/>
      <c r="E901" s="7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1"/>
      <c r="B902" s="3"/>
      <c r="C902" s="6"/>
      <c r="D902" s="6"/>
      <c r="E902" s="7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1"/>
      <c r="B903" s="3"/>
      <c r="C903" s="6"/>
      <c r="D903" s="6"/>
      <c r="E903" s="7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1"/>
      <c r="B904" s="3"/>
      <c r="C904" s="6"/>
      <c r="D904" s="6"/>
      <c r="E904" s="7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1"/>
      <c r="B905" s="3"/>
      <c r="C905" s="6"/>
      <c r="D905" s="6"/>
      <c r="E905" s="7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1"/>
      <c r="B906" s="3"/>
      <c r="C906" s="6"/>
      <c r="D906" s="6"/>
      <c r="E906" s="7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1"/>
      <c r="B907" s="3"/>
      <c r="C907" s="6"/>
      <c r="D907" s="6"/>
      <c r="E907" s="7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1"/>
      <c r="B908" s="3"/>
      <c r="C908" s="6"/>
      <c r="D908" s="6"/>
      <c r="E908" s="7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1"/>
      <c r="B909" s="3"/>
      <c r="C909" s="6"/>
      <c r="D909" s="6"/>
      <c r="E909" s="7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1"/>
      <c r="B910" s="3"/>
      <c r="C910" s="6"/>
      <c r="D910" s="6"/>
      <c r="E910" s="7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1"/>
      <c r="B911" s="3"/>
      <c r="C911" s="6"/>
      <c r="D911" s="6"/>
      <c r="E911" s="7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1"/>
      <c r="B912" s="3"/>
      <c r="C912" s="6"/>
      <c r="D912" s="6"/>
      <c r="E912" s="7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1"/>
      <c r="B913" s="3"/>
      <c r="C913" s="6"/>
      <c r="D913" s="6"/>
      <c r="E913" s="7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1"/>
      <c r="B914" s="3"/>
      <c r="C914" s="6"/>
      <c r="D914" s="6"/>
      <c r="E914" s="7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1"/>
      <c r="B915" s="3"/>
      <c r="C915" s="6"/>
      <c r="D915" s="6"/>
      <c r="E915" s="7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1"/>
      <c r="B916" s="3"/>
      <c r="C916" s="6"/>
      <c r="D916" s="6"/>
      <c r="E916" s="7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1"/>
      <c r="B917" s="3"/>
      <c r="C917" s="6"/>
      <c r="D917" s="6"/>
      <c r="E917" s="7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1"/>
      <c r="B918" s="3"/>
      <c r="C918" s="6"/>
      <c r="D918" s="6"/>
      <c r="E918" s="7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1"/>
      <c r="B919" s="3"/>
      <c r="C919" s="6"/>
      <c r="D919" s="6"/>
      <c r="E919" s="7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1"/>
      <c r="B920" s="3"/>
      <c r="C920" s="6"/>
      <c r="D920" s="6"/>
      <c r="E920" s="7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1"/>
      <c r="B921" s="3"/>
      <c r="C921" s="6"/>
      <c r="D921" s="6"/>
      <c r="E921" s="7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1"/>
      <c r="B922" s="3"/>
      <c r="C922" s="6"/>
      <c r="D922" s="6"/>
      <c r="E922" s="7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1"/>
      <c r="B923" s="3"/>
      <c r="C923" s="6"/>
      <c r="D923" s="6"/>
      <c r="E923" s="7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1"/>
      <c r="B924" s="3"/>
      <c r="C924" s="6"/>
      <c r="D924" s="6"/>
      <c r="E924" s="7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1"/>
      <c r="B925" s="3"/>
      <c r="C925" s="6"/>
      <c r="D925" s="6"/>
      <c r="E925" s="7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1"/>
      <c r="B926" s="3"/>
      <c r="C926" s="6"/>
      <c r="D926" s="6"/>
      <c r="E926" s="7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1"/>
      <c r="B927" s="3"/>
      <c r="C927" s="6"/>
      <c r="D927" s="6"/>
      <c r="E927" s="7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1"/>
      <c r="B928" s="3"/>
      <c r="C928" s="6"/>
      <c r="D928" s="6"/>
      <c r="E928" s="7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1"/>
      <c r="B929" s="3"/>
      <c r="C929" s="6"/>
      <c r="D929" s="6"/>
      <c r="E929" s="7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1"/>
      <c r="B930" s="3"/>
      <c r="C930" s="6"/>
      <c r="D930" s="6"/>
      <c r="E930" s="7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1"/>
      <c r="B931" s="3"/>
      <c r="C931" s="6"/>
      <c r="D931" s="6"/>
      <c r="E931" s="7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1"/>
      <c r="B932" s="3"/>
      <c r="C932" s="6"/>
      <c r="D932" s="6"/>
      <c r="E932" s="7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1"/>
      <c r="B933" s="3"/>
      <c r="C933" s="6"/>
      <c r="D933" s="6"/>
      <c r="E933" s="7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1"/>
      <c r="B934" s="3"/>
      <c r="C934" s="6"/>
      <c r="D934" s="6"/>
      <c r="E934" s="7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1"/>
      <c r="B935" s="3"/>
      <c r="C935" s="6"/>
      <c r="D935" s="6"/>
      <c r="E935" s="7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1"/>
      <c r="B936" s="3"/>
      <c r="C936" s="6"/>
      <c r="D936" s="6"/>
      <c r="E936" s="7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1"/>
      <c r="B937" s="3"/>
      <c r="C937" s="6"/>
      <c r="D937" s="6"/>
      <c r="E937" s="7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1"/>
      <c r="B938" s="3"/>
      <c r="C938" s="6"/>
      <c r="D938" s="6"/>
      <c r="E938" s="7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1"/>
      <c r="B939" s="3"/>
      <c r="C939" s="6"/>
      <c r="D939" s="6"/>
      <c r="E939" s="7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1"/>
      <c r="B940" s="3"/>
      <c r="C940" s="6"/>
      <c r="D940" s="6"/>
      <c r="E940" s="7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1"/>
      <c r="B941" s="3"/>
      <c r="C941" s="6"/>
      <c r="D941" s="6"/>
      <c r="E941" s="7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1"/>
      <c r="B942" s="3"/>
      <c r="C942" s="6"/>
      <c r="D942" s="6"/>
      <c r="E942" s="7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1"/>
      <c r="B943" s="3"/>
      <c r="C943" s="6"/>
      <c r="D943" s="6"/>
      <c r="E943" s="7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1"/>
      <c r="B944" s="3"/>
      <c r="C944" s="6"/>
      <c r="D944" s="6"/>
      <c r="E944" s="7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1"/>
      <c r="B945" s="3"/>
      <c r="C945" s="6"/>
      <c r="D945" s="6"/>
      <c r="E945" s="7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1"/>
      <c r="B946" s="3"/>
      <c r="C946" s="6"/>
      <c r="D946" s="6"/>
      <c r="E946" s="7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1"/>
      <c r="B947" s="3"/>
      <c r="C947" s="6"/>
      <c r="D947" s="6"/>
      <c r="E947" s="7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1"/>
      <c r="B948" s="3"/>
      <c r="C948" s="6"/>
      <c r="D948" s="6"/>
      <c r="E948" s="7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1"/>
      <c r="B949" s="3"/>
      <c r="C949" s="6"/>
      <c r="D949" s="6"/>
      <c r="E949" s="7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1"/>
      <c r="B950" s="3"/>
      <c r="C950" s="6"/>
      <c r="D950" s="6"/>
      <c r="E950" s="7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1"/>
      <c r="B951" s="3"/>
      <c r="C951" s="6"/>
      <c r="D951" s="6"/>
      <c r="E951" s="7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1"/>
      <c r="B952" s="3"/>
      <c r="C952" s="6"/>
      <c r="D952" s="6"/>
      <c r="E952" s="7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1"/>
      <c r="B953" s="3"/>
      <c r="C953" s="6"/>
      <c r="D953" s="6"/>
      <c r="E953" s="7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1"/>
      <c r="B954" s="3"/>
      <c r="C954" s="6"/>
      <c r="D954" s="6"/>
      <c r="E954" s="7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1"/>
      <c r="B955" s="3"/>
      <c r="C955" s="6"/>
      <c r="D955" s="6"/>
      <c r="E955" s="7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1"/>
      <c r="B956" s="3"/>
      <c r="C956" s="6"/>
      <c r="D956" s="6"/>
      <c r="E956" s="7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1"/>
      <c r="B957" s="3"/>
      <c r="C957" s="6"/>
      <c r="D957" s="6"/>
      <c r="E957" s="7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1"/>
      <c r="B958" s="3"/>
      <c r="C958" s="6"/>
      <c r="D958" s="6"/>
      <c r="E958" s="7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1"/>
      <c r="B959" s="3"/>
      <c r="C959" s="6"/>
      <c r="D959" s="6"/>
      <c r="E959" s="7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1"/>
      <c r="B960" s="3"/>
      <c r="C960" s="6"/>
      <c r="D960" s="6"/>
      <c r="E960" s="7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1"/>
      <c r="B961" s="3"/>
      <c r="C961" s="6"/>
      <c r="D961" s="6"/>
      <c r="E961" s="7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1"/>
      <c r="B962" s="3"/>
      <c r="C962" s="6"/>
      <c r="D962" s="6"/>
      <c r="E962" s="7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1"/>
      <c r="B963" s="3"/>
      <c r="C963" s="6"/>
      <c r="D963" s="6"/>
      <c r="E963" s="7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1"/>
      <c r="B964" s="3"/>
      <c r="C964" s="6"/>
      <c r="D964" s="6"/>
      <c r="E964" s="7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1"/>
      <c r="B965" s="3"/>
      <c r="C965" s="6"/>
      <c r="D965" s="6"/>
      <c r="E965" s="7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1"/>
      <c r="B966" s="3"/>
      <c r="C966" s="6"/>
      <c r="D966" s="6"/>
      <c r="E966" s="7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1"/>
      <c r="B967" s="3"/>
      <c r="C967" s="6"/>
      <c r="D967" s="6"/>
      <c r="E967" s="7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1"/>
      <c r="B968" s="3"/>
      <c r="C968" s="6"/>
      <c r="D968" s="6"/>
      <c r="E968" s="7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1"/>
      <c r="B969" s="3"/>
      <c r="C969" s="6"/>
      <c r="D969" s="6"/>
      <c r="E969" s="7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1"/>
      <c r="B970" s="3"/>
      <c r="C970" s="6"/>
      <c r="D970" s="6"/>
      <c r="E970" s="7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1"/>
      <c r="B971" s="3"/>
      <c r="C971" s="6"/>
      <c r="D971" s="6"/>
      <c r="E971" s="7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1"/>
      <c r="B972" s="3"/>
      <c r="C972" s="6"/>
      <c r="D972" s="6"/>
      <c r="E972" s="7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1"/>
      <c r="B973" s="3"/>
      <c r="C973" s="6"/>
      <c r="D973" s="6"/>
      <c r="E973" s="7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1"/>
      <c r="B974" s="3"/>
      <c r="C974" s="6"/>
      <c r="D974" s="6"/>
      <c r="E974" s="7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1"/>
      <c r="B975" s="3"/>
      <c r="C975" s="6"/>
      <c r="D975" s="6"/>
      <c r="E975" s="7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1"/>
      <c r="B976" s="3"/>
      <c r="C976" s="6"/>
      <c r="D976" s="6"/>
      <c r="E976" s="7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1"/>
      <c r="B977" s="3"/>
      <c r="C977" s="6"/>
      <c r="D977" s="6"/>
      <c r="E977" s="7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1"/>
      <c r="B978" s="3"/>
      <c r="C978" s="6"/>
      <c r="D978" s="6"/>
      <c r="E978" s="7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1"/>
      <c r="B979" s="3"/>
      <c r="C979" s="6"/>
      <c r="D979" s="6"/>
      <c r="E979" s="7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1"/>
      <c r="B980" s="3"/>
      <c r="C980" s="6"/>
      <c r="D980" s="6"/>
      <c r="E980" s="7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1"/>
      <c r="B981" s="3"/>
      <c r="C981" s="6"/>
      <c r="D981" s="6"/>
      <c r="E981" s="7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1"/>
      <c r="B982" s="3"/>
      <c r="C982" s="6"/>
      <c r="D982" s="6"/>
      <c r="E982" s="7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1"/>
      <c r="B983" s="3"/>
      <c r="C983" s="6"/>
      <c r="D983" s="6"/>
      <c r="E983" s="7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1"/>
      <c r="B984" s="3"/>
      <c r="C984" s="6"/>
      <c r="D984" s="6"/>
      <c r="E984" s="7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1"/>
      <c r="B985" s="3"/>
      <c r="C985" s="6"/>
      <c r="D985" s="6"/>
      <c r="E985" s="7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1"/>
      <c r="B986" s="3"/>
      <c r="C986" s="6"/>
      <c r="D986" s="6"/>
      <c r="E986" s="7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1"/>
      <c r="B987" s="3"/>
      <c r="C987" s="6"/>
      <c r="D987" s="6"/>
      <c r="E987" s="7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1"/>
      <c r="B988" s="3"/>
      <c r="C988" s="6"/>
      <c r="D988" s="6"/>
      <c r="E988" s="7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1"/>
      <c r="B989" s="3"/>
      <c r="C989" s="6"/>
      <c r="D989" s="6"/>
      <c r="E989" s="7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1"/>
      <c r="B990" s="3"/>
      <c r="C990" s="6"/>
      <c r="D990" s="6"/>
      <c r="E990" s="7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1"/>
      <c r="B991" s="3"/>
      <c r="C991" s="6"/>
      <c r="D991" s="6"/>
      <c r="E991" s="7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1"/>
      <c r="B992" s="3"/>
      <c r="C992" s="6"/>
      <c r="D992" s="6"/>
      <c r="E992" s="7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1"/>
      <c r="B993" s="3"/>
      <c r="C993" s="6"/>
      <c r="D993" s="6"/>
      <c r="E993" s="7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1"/>
      <c r="B994" s="3"/>
      <c r="C994" s="6"/>
      <c r="D994" s="6"/>
      <c r="E994" s="7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1"/>
      <c r="B995" s="3"/>
      <c r="C995" s="6"/>
      <c r="D995" s="6"/>
      <c r="E995" s="7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1"/>
      <c r="B996" s="3"/>
      <c r="C996" s="6"/>
      <c r="D996" s="6"/>
      <c r="E996" s="7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1"/>
      <c r="B997" s="3"/>
      <c r="C997" s="6"/>
      <c r="D997" s="6"/>
      <c r="E997" s="7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1"/>
      <c r="B998" s="3"/>
      <c r="C998" s="6"/>
      <c r="D998" s="6"/>
      <c r="E998" s="7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1"/>
      <c r="B999" s="3"/>
      <c r="C999" s="6"/>
      <c r="D999" s="6"/>
      <c r="E999" s="7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1"/>
      <c r="B1000" s="3"/>
      <c r="C1000" s="6"/>
      <c r="D1000" s="6"/>
      <c r="E1000" s="7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A2:E2"/>
    <mergeCell ref="A4:E4"/>
    <mergeCell ref="D5:E5"/>
    <mergeCell ref="A3:E3"/>
    <mergeCell ref="B29:E29"/>
    <mergeCell ref="B28:E28"/>
    <mergeCell ref="B40:E40"/>
    <mergeCell ref="B41:E41"/>
    <mergeCell ref="B39:E39"/>
    <mergeCell ref="B38:E38"/>
    <mergeCell ref="B30:E30"/>
  </mergeCells>
  <pageMargins left="0.70866141732283472" right="0.70866141732283472" top="0.74803149606299213" bottom="0.74803149606299213" header="0" footer="0"/>
  <pageSetup paperSize="9" scale="90" orientation="portrait"/>
  <headerFooter>
    <oddHeader>&amp;C&amp;A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38"/>
  <sheetViews>
    <sheetView showGridLines="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134" sqref="D1134"/>
    </sheetView>
  </sheetViews>
  <sheetFormatPr defaultColWidth="14.42578125" defaultRowHeight="15" customHeight="1"/>
  <cols>
    <col min="1" max="1" width="7.7109375" customWidth="1"/>
    <col min="2" max="2" width="14.85546875" customWidth="1"/>
    <col min="3" max="3" width="6.5703125" customWidth="1"/>
    <col min="4" max="4" width="83" customWidth="1"/>
    <col min="5" max="5" width="14.28515625" customWidth="1"/>
    <col min="6" max="6" width="14.85546875" customWidth="1"/>
    <col min="7" max="7" width="16.42578125" customWidth="1"/>
    <col min="8" max="8" width="25.5703125" hidden="1" customWidth="1"/>
    <col min="9" max="9" width="9.140625" hidden="1" customWidth="1"/>
    <col min="10" max="10" width="39.5703125" hidden="1" customWidth="1"/>
    <col min="11" max="11" width="62.140625" hidden="1" customWidth="1"/>
    <col min="12" max="12" width="9.28515625" hidden="1" customWidth="1"/>
    <col min="13" max="13" width="10.7109375" hidden="1" customWidth="1"/>
    <col min="14" max="26" width="8" hidden="1" customWidth="1"/>
  </cols>
  <sheetData>
    <row r="1" spans="1:26" ht="12.75" customHeight="1">
      <c r="A1" s="74"/>
      <c r="B1" s="75"/>
      <c r="C1" s="75"/>
      <c r="D1" s="76"/>
      <c r="E1" s="77"/>
      <c r="F1" s="77"/>
      <c r="G1" s="78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2.75" customHeight="1">
      <c r="A2" s="74"/>
      <c r="B2" s="75"/>
      <c r="C2" s="80"/>
      <c r="D2" s="31"/>
      <c r="E2" s="81"/>
      <c r="F2" s="81"/>
      <c r="G2" s="82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2.75" customHeight="1">
      <c r="A3" s="83"/>
      <c r="B3" s="80"/>
      <c r="C3" s="80"/>
      <c r="D3" s="31"/>
      <c r="E3" s="81"/>
      <c r="F3" s="81"/>
      <c r="G3" s="8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2.75" customHeight="1">
      <c r="A4" s="83"/>
      <c r="B4" s="80"/>
      <c r="C4" s="80"/>
      <c r="D4" s="31"/>
      <c r="E4" s="81"/>
      <c r="F4" s="81"/>
      <c r="G4" s="82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2.75" customHeight="1">
      <c r="A5" s="83"/>
      <c r="B5" s="80"/>
      <c r="C5" s="80"/>
      <c r="D5" s="31"/>
      <c r="E5" s="81"/>
      <c r="F5" s="81"/>
      <c r="G5" s="82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692" t="s">
        <v>40</v>
      </c>
      <c r="B6" s="682"/>
      <c r="C6" s="682"/>
      <c r="D6" s="682"/>
      <c r="E6" s="682"/>
      <c r="F6" s="682"/>
      <c r="G6" s="683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2.75" customHeight="1">
      <c r="A7" s="697" t="e">
        <f>#REF!</f>
        <v>#REF!</v>
      </c>
      <c r="B7" s="682"/>
      <c r="C7" s="682"/>
      <c r="D7" s="682"/>
      <c r="E7" s="682"/>
      <c r="F7" s="682"/>
      <c r="G7" s="683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2.75" customHeight="1">
      <c r="A8" s="700" t="e">
        <f>#REF!</f>
        <v>#REF!</v>
      </c>
      <c r="B8" s="678"/>
      <c r="C8" s="678"/>
      <c r="D8" s="678"/>
      <c r="E8" s="699"/>
      <c r="F8" s="682"/>
      <c r="G8" s="68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29.25" customHeight="1">
      <c r="A9" s="698"/>
      <c r="B9" s="682"/>
      <c r="C9" s="683"/>
      <c r="D9" s="84" t="s">
        <v>41</v>
      </c>
      <c r="E9" s="699" t="s">
        <v>42</v>
      </c>
      <c r="F9" s="682"/>
      <c r="G9" s="683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12.75" customHeight="1">
      <c r="A10" s="86"/>
      <c r="B10" s="695"/>
      <c r="C10" s="678"/>
      <c r="D10" s="87"/>
      <c r="E10" s="88"/>
      <c r="F10" s="89"/>
      <c r="G10" s="90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25.5" customHeight="1">
      <c r="A11" s="91" t="s">
        <v>43</v>
      </c>
      <c r="B11" s="92" t="s">
        <v>44</v>
      </c>
      <c r="C11" s="92" t="s">
        <v>45</v>
      </c>
      <c r="D11" s="92" t="s">
        <v>46</v>
      </c>
      <c r="E11" s="93" t="s">
        <v>47</v>
      </c>
      <c r="F11" s="93" t="s">
        <v>48</v>
      </c>
      <c r="G11" s="93" t="s">
        <v>49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15" customHeight="1">
      <c r="A12" s="95">
        <v>1</v>
      </c>
      <c r="B12" s="693" t="s">
        <v>50</v>
      </c>
      <c r="C12" s="682"/>
      <c r="D12" s="682"/>
      <c r="E12" s="682"/>
      <c r="F12" s="682"/>
      <c r="G12" s="683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2.75" customHeight="1">
      <c r="A13" s="96" t="s">
        <v>6</v>
      </c>
      <c r="B13" s="97">
        <v>90778</v>
      </c>
      <c r="C13" s="98" t="s">
        <v>51</v>
      </c>
      <c r="D13" s="99" t="s">
        <v>52</v>
      </c>
      <c r="E13" s="100">
        <f>20*4*6</f>
        <v>480</v>
      </c>
      <c r="F13" s="100"/>
      <c r="G13" s="100">
        <f t="shared" ref="G13:G14" si="0">F13*E13</f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2.75" customHeight="1">
      <c r="A14" s="96" t="s">
        <v>10</v>
      </c>
      <c r="B14" s="97">
        <v>94295</v>
      </c>
      <c r="C14" s="98" t="s">
        <v>53</v>
      </c>
      <c r="D14" s="99" t="s">
        <v>54</v>
      </c>
      <c r="E14" s="100">
        <v>6</v>
      </c>
      <c r="F14" s="100"/>
      <c r="G14" s="100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>
      <c r="A15" s="96"/>
      <c r="B15" s="97"/>
      <c r="C15" s="98"/>
      <c r="D15" s="694" t="s">
        <v>55</v>
      </c>
      <c r="E15" s="682"/>
      <c r="F15" s="683"/>
      <c r="G15" s="101">
        <f>SUM(G13:G14)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6.5" customHeight="1">
      <c r="A16" s="95">
        <v>2</v>
      </c>
      <c r="B16" s="693" t="s">
        <v>56</v>
      </c>
      <c r="C16" s="682"/>
      <c r="D16" s="682"/>
      <c r="E16" s="682"/>
      <c r="F16" s="682"/>
      <c r="G16" s="683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24.75" customHeight="1">
      <c r="A17" s="102">
        <v>2.1</v>
      </c>
      <c r="B17" s="97">
        <v>14250</v>
      </c>
      <c r="C17" s="97" t="s">
        <v>57</v>
      </c>
      <c r="D17" s="103" t="s">
        <v>58</v>
      </c>
      <c r="E17" s="104">
        <f>600*9</f>
        <v>5400</v>
      </c>
      <c r="F17" s="105"/>
      <c r="G17" s="105">
        <f t="shared" ref="G17:G25" si="1">E17*F17</f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>
      <c r="A18" s="102">
        <v>2.2000000000000002</v>
      </c>
      <c r="B18" s="97" t="s">
        <v>59</v>
      </c>
      <c r="C18" s="97" t="s">
        <v>60</v>
      </c>
      <c r="D18" s="103" t="s">
        <v>61</v>
      </c>
      <c r="E18" s="105">
        <v>22</v>
      </c>
      <c r="F18" s="105"/>
      <c r="G18" s="105">
        <f t="shared" si="1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5.5" customHeight="1">
      <c r="A19" s="102">
        <v>2.2999999999999998</v>
      </c>
      <c r="B19" s="97">
        <v>20193</v>
      </c>
      <c r="C19" s="97" t="s">
        <v>60</v>
      </c>
      <c r="D19" s="103" t="s">
        <v>62</v>
      </c>
      <c r="E19" s="105">
        <v>86.4</v>
      </c>
      <c r="F19" s="105"/>
      <c r="G19" s="105">
        <f t="shared" si="1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5.5" customHeight="1">
      <c r="A20" s="102">
        <v>2.4</v>
      </c>
      <c r="B20" s="97">
        <v>10776</v>
      </c>
      <c r="C20" s="97" t="s">
        <v>63</v>
      </c>
      <c r="D20" s="103" t="s">
        <v>64</v>
      </c>
      <c r="E20" s="105">
        <v>6</v>
      </c>
      <c r="F20" s="105"/>
      <c r="G20" s="105">
        <f t="shared" si="1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5.5" customHeight="1">
      <c r="A21" s="102">
        <v>2.5</v>
      </c>
      <c r="B21" s="97">
        <v>10776</v>
      </c>
      <c r="C21" s="97" t="s">
        <v>63</v>
      </c>
      <c r="D21" s="103" t="s">
        <v>65</v>
      </c>
      <c r="E21" s="105">
        <v>6</v>
      </c>
      <c r="F21" s="105"/>
      <c r="G21" s="105">
        <f t="shared" si="1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5.5" customHeight="1">
      <c r="A22" s="102">
        <v>2.6</v>
      </c>
      <c r="B22" s="97">
        <v>10776</v>
      </c>
      <c r="C22" s="97" t="s">
        <v>63</v>
      </c>
      <c r="D22" s="103" t="s">
        <v>66</v>
      </c>
      <c r="E22" s="105">
        <v>6</v>
      </c>
      <c r="F22" s="105"/>
      <c r="G22" s="105">
        <f t="shared" si="1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5.5" customHeight="1">
      <c r="A23" s="102">
        <v>2.7</v>
      </c>
      <c r="B23" s="97">
        <v>10778</v>
      </c>
      <c r="C23" s="97" t="s">
        <v>63</v>
      </c>
      <c r="D23" s="103" t="s">
        <v>67</v>
      </c>
      <c r="E23" s="105">
        <v>6</v>
      </c>
      <c r="F23" s="105"/>
      <c r="G23" s="105">
        <f t="shared" si="1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2.75" customHeight="1">
      <c r="A24" s="102">
        <v>2.8</v>
      </c>
      <c r="B24" s="97" t="s">
        <v>68</v>
      </c>
      <c r="C24" s="97" t="s">
        <v>60</v>
      </c>
      <c r="D24" s="103" t="s">
        <v>69</v>
      </c>
      <c r="E24" s="105">
        <f>2*1.25</f>
        <v>2.5</v>
      </c>
      <c r="F24" s="105"/>
      <c r="G24" s="105">
        <f t="shared" si="1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2.75" customHeight="1">
      <c r="A25" s="102">
        <v>2.9</v>
      </c>
      <c r="B25" s="97">
        <v>97053</v>
      </c>
      <c r="C25" s="97" t="s">
        <v>70</v>
      </c>
      <c r="D25" s="103" t="s">
        <v>71</v>
      </c>
      <c r="E25" s="105">
        <f>30</f>
        <v>30</v>
      </c>
      <c r="F25" s="105"/>
      <c r="G25" s="105">
        <f t="shared" si="1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customHeight="1">
      <c r="A26" s="106">
        <v>2.1</v>
      </c>
      <c r="B26" s="107">
        <v>90779</v>
      </c>
      <c r="C26" s="108" t="s">
        <v>51</v>
      </c>
      <c r="D26" s="109" t="s">
        <v>72</v>
      </c>
      <c r="E26" s="110">
        <v>35</v>
      </c>
      <c r="F26" s="110"/>
      <c r="G26" s="111">
        <f t="shared" ref="G26:G27" si="2">F26*E26</f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25.5" customHeight="1">
      <c r="A27" s="106">
        <v>2.11</v>
      </c>
      <c r="B27" s="97">
        <v>90768</v>
      </c>
      <c r="C27" s="97" t="s">
        <v>51</v>
      </c>
      <c r="D27" s="103" t="s">
        <v>73</v>
      </c>
      <c r="E27" s="105">
        <v>80</v>
      </c>
      <c r="F27" s="105"/>
      <c r="G27" s="105">
        <f t="shared" si="2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5" customHeight="1">
      <c r="A28" s="112"/>
      <c r="B28" s="113"/>
      <c r="C28" s="114"/>
      <c r="D28" s="694" t="s">
        <v>74</v>
      </c>
      <c r="E28" s="682"/>
      <c r="F28" s="683"/>
      <c r="G28" s="101">
        <f>SUM(G17:G27)</f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5.5" customHeight="1">
      <c r="A29" s="115"/>
      <c r="B29" s="116"/>
      <c r="C29" s="116"/>
      <c r="D29" s="117" t="s">
        <v>75</v>
      </c>
      <c r="E29" s="118"/>
      <c r="F29" s="119"/>
      <c r="G29" s="119">
        <f>G28+G15</f>
        <v>0</v>
      </c>
      <c r="H29" s="79"/>
      <c r="I29" s="79"/>
      <c r="J29" s="120">
        <f>G28</f>
        <v>0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2.75" customHeight="1">
      <c r="A30" s="115"/>
      <c r="B30" s="116"/>
      <c r="C30" s="116"/>
      <c r="D30" s="117" t="s">
        <v>76</v>
      </c>
      <c r="E30" s="121">
        <f>BDI!D16/100</f>
        <v>0</v>
      </c>
      <c r="F30" s="119"/>
      <c r="G30" s="119">
        <f>E30*G29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25.5" customHeight="1">
      <c r="A31" s="115"/>
      <c r="B31" s="116"/>
      <c r="C31" s="116"/>
      <c r="D31" s="117" t="s">
        <v>77</v>
      </c>
      <c r="E31" s="118"/>
      <c r="F31" s="119"/>
      <c r="G31" s="119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8.75" customHeight="1">
      <c r="A32" s="701" t="s">
        <v>78</v>
      </c>
      <c r="B32" s="682"/>
      <c r="C32" s="682"/>
      <c r="D32" s="682"/>
      <c r="E32" s="682"/>
      <c r="F32" s="682"/>
      <c r="G32" s="683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" customHeight="1">
      <c r="A33" s="95">
        <v>3</v>
      </c>
      <c r="B33" s="696" t="s">
        <v>79</v>
      </c>
      <c r="C33" s="682"/>
      <c r="D33" s="682"/>
      <c r="E33" s="682"/>
      <c r="F33" s="682"/>
      <c r="G33" s="683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5.5" customHeight="1">
      <c r="A34" s="102">
        <v>3.1</v>
      </c>
      <c r="B34" s="97">
        <v>97635</v>
      </c>
      <c r="C34" s="97" t="s">
        <v>60</v>
      </c>
      <c r="D34" s="122" t="s">
        <v>80</v>
      </c>
      <c r="E34" s="123">
        <v>36.25</v>
      </c>
      <c r="F34" s="123"/>
      <c r="G34" s="105">
        <f t="shared" ref="G34:G36" si="3">E34*F34</f>
        <v>0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38.25" customHeight="1">
      <c r="A35" s="102">
        <v>3.2</v>
      </c>
      <c r="B35" s="97">
        <v>94995</v>
      </c>
      <c r="C35" s="97" t="s">
        <v>60</v>
      </c>
      <c r="D35" s="103" t="s">
        <v>81</v>
      </c>
      <c r="E35" s="123">
        <f>28.11*2.13</f>
        <v>59.874299999999998</v>
      </c>
      <c r="F35" s="123"/>
      <c r="G35" s="105">
        <f t="shared" si="3"/>
        <v>0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25.5" customHeight="1">
      <c r="A36" s="102">
        <v>3.8</v>
      </c>
      <c r="B36" s="97" t="str">
        <f>'Composição de Custos '!A52</f>
        <v>C004.1</v>
      </c>
      <c r="C36" s="97" t="s">
        <v>60</v>
      </c>
      <c r="D36" s="122" t="str">
        <f>'Composição de Custos '!D52</f>
        <v>INSTALAÇÃO DE LADRILHO HIDRAULICO TÁTIIL DIRECIONAL OU ALERTA 25X25 COR AMARELA  (ÁREA EXTERNA), INCLUSIVE EXECUÇÃO DE RASGOS NO PISO EXISTENTE PARA ENCAIXE DAS PEÇAS.</v>
      </c>
      <c r="E36" s="123">
        <f>1.8+3.22</f>
        <v>5.0200000000000005</v>
      </c>
      <c r="F36" s="105"/>
      <c r="G36" s="105">
        <f t="shared" si="3"/>
        <v>0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2.75" customHeight="1">
      <c r="A37" s="102">
        <v>3.9</v>
      </c>
      <c r="B37" s="97">
        <v>72897</v>
      </c>
      <c r="C37" s="124" t="s">
        <v>82</v>
      </c>
      <c r="D37" s="103" t="s">
        <v>83</v>
      </c>
      <c r="E37" s="125">
        <v>6</v>
      </c>
      <c r="F37" s="105"/>
      <c r="G37" s="105">
        <f>F37*E37</f>
        <v>0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2.75" customHeight="1">
      <c r="A38" s="126"/>
      <c r="B38" s="113"/>
      <c r="C38" s="113"/>
      <c r="D38" s="705" t="s">
        <v>84</v>
      </c>
      <c r="E38" s="682"/>
      <c r="F38" s="683"/>
      <c r="G38" s="127">
        <f>SUM(G34:G37)</f>
        <v>0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" customHeight="1">
      <c r="A39" s="95">
        <v>4</v>
      </c>
      <c r="B39" s="696" t="s">
        <v>85</v>
      </c>
      <c r="C39" s="682"/>
      <c r="D39" s="682"/>
      <c r="E39" s="682"/>
      <c r="F39" s="682"/>
      <c r="G39" s="683"/>
      <c r="H39" s="79" t="s">
        <v>86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30" customHeight="1">
      <c r="A40" s="128">
        <v>4.2</v>
      </c>
      <c r="B40" s="97">
        <v>97635</v>
      </c>
      <c r="C40" s="97" t="s">
        <v>60</v>
      </c>
      <c r="D40" s="122" t="s">
        <v>80</v>
      </c>
      <c r="E40" s="123">
        <f t="shared" ref="E40:E41" si="4">34+36</f>
        <v>70</v>
      </c>
      <c r="F40" s="123"/>
      <c r="G40" s="105">
        <f t="shared" ref="G40:G41" si="5">F40*E40</f>
        <v>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38.25" customHeight="1">
      <c r="A41" s="128">
        <v>4.4000000000000004</v>
      </c>
      <c r="B41" s="97" t="s">
        <v>87</v>
      </c>
      <c r="C41" s="97" t="s">
        <v>60</v>
      </c>
      <c r="D41" s="103" t="s">
        <v>88</v>
      </c>
      <c r="E41" s="129">
        <f t="shared" si="4"/>
        <v>70</v>
      </c>
      <c r="F41" s="123"/>
      <c r="G41" s="105">
        <f t="shared" si="5"/>
        <v>0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25.5" customHeight="1">
      <c r="A42" s="128">
        <v>4.12</v>
      </c>
      <c r="B42" s="97" t="str">
        <f>'Composição de Custos '!A52</f>
        <v>C004.1</v>
      </c>
      <c r="C42" s="97" t="s">
        <v>60</v>
      </c>
      <c r="D42" s="122" t="str">
        <f>'Composição de Custos '!D52</f>
        <v>INSTALAÇÃO DE LADRILHO HIDRAULICO TÁTIIL DIRECIONAL OU ALERTA 25X25 COR AMARELA  (ÁREA EXTERNA), INCLUSIVE EXECUÇÃO DE RASGOS NO PISO EXISTENTE PARA ENCAIXE DAS PEÇAS.</v>
      </c>
      <c r="E42" s="123">
        <f>2.25+0.25*24</f>
        <v>8.25</v>
      </c>
      <c r="F42" s="105"/>
      <c r="G42" s="105">
        <f>E42*F42</f>
        <v>0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2.75" customHeight="1">
      <c r="A43" s="128">
        <v>4.13</v>
      </c>
      <c r="B43" s="97">
        <v>72897</v>
      </c>
      <c r="C43" s="124" t="s">
        <v>82</v>
      </c>
      <c r="D43" s="103" t="s">
        <v>83</v>
      </c>
      <c r="E43" s="125">
        <v>1</v>
      </c>
      <c r="F43" s="123"/>
      <c r="G43" s="105">
        <f>F43*E43</f>
        <v>0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" customHeight="1">
      <c r="A44" s="126"/>
      <c r="B44" s="113"/>
      <c r="C44" s="113"/>
      <c r="D44" s="705" t="s">
        <v>84</v>
      </c>
      <c r="E44" s="682"/>
      <c r="F44" s="683"/>
      <c r="G44" s="130">
        <f>SUM(G40:G43)</f>
        <v>0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2.75" customHeight="1">
      <c r="A45" s="131">
        <v>5</v>
      </c>
      <c r="B45" s="696" t="s">
        <v>89</v>
      </c>
      <c r="C45" s="682"/>
      <c r="D45" s="682"/>
      <c r="E45" s="682"/>
      <c r="F45" s="682"/>
      <c r="G45" s="683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38.25" customHeight="1">
      <c r="A46" s="102">
        <v>5.0999999999999996</v>
      </c>
      <c r="B46" s="97">
        <v>94995</v>
      </c>
      <c r="C46" s="97" t="s">
        <v>60</v>
      </c>
      <c r="D46" s="122" t="s">
        <v>90</v>
      </c>
      <c r="E46" s="123">
        <v>16.55</v>
      </c>
      <c r="F46" s="123"/>
      <c r="G46" s="105">
        <f t="shared" ref="G46:G47" si="6">E46*F46</f>
        <v>0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25.5" customHeight="1">
      <c r="A47" s="102">
        <v>5.2</v>
      </c>
      <c r="B47" s="97" t="str">
        <f>'Composição de Custos '!A52</f>
        <v>C004.1</v>
      </c>
      <c r="C47" s="97" t="s">
        <v>60</v>
      </c>
      <c r="D47" s="122" t="str">
        <f>'Composição de Custos '!D52</f>
        <v>INSTALAÇÃO DE LADRILHO HIDRAULICO TÁTIIL DIRECIONAL OU ALERTA 25X25 COR AMARELA  (ÁREA EXTERNA), INCLUSIVE EXECUÇÃO DE RASGOS NO PISO EXISTENTE PARA ENCAIXE DAS PEÇAS.</v>
      </c>
      <c r="E47" s="123">
        <v>7.82</v>
      </c>
      <c r="F47" s="105"/>
      <c r="G47" s="105">
        <f t="shared" si="6"/>
        <v>0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2.75" customHeight="1">
      <c r="A48" s="102">
        <v>5.3</v>
      </c>
      <c r="B48" s="97">
        <v>72897</v>
      </c>
      <c r="C48" s="124" t="s">
        <v>82</v>
      </c>
      <c r="D48" s="103" t="s">
        <v>83</v>
      </c>
      <c r="E48" s="125">
        <v>3</v>
      </c>
      <c r="F48" s="123"/>
      <c r="G48" s="105">
        <f t="shared" ref="G48:G52" si="7">F48*E48</f>
        <v>0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2.75" customHeight="1">
      <c r="A49" s="132">
        <v>5.4</v>
      </c>
      <c r="B49" s="133">
        <v>99814</v>
      </c>
      <c r="C49" s="133" t="s">
        <v>60</v>
      </c>
      <c r="D49" s="134" t="s">
        <v>91</v>
      </c>
      <c r="E49" s="135">
        <v>20</v>
      </c>
      <c r="F49" s="135"/>
      <c r="G49" s="136">
        <f t="shared" si="7"/>
        <v>0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6.5" customHeight="1">
      <c r="A50" s="137">
        <v>5.5</v>
      </c>
      <c r="B50" s="138">
        <v>93382</v>
      </c>
      <c r="C50" s="138" t="s">
        <v>82</v>
      </c>
      <c r="D50" s="132" t="s">
        <v>92</v>
      </c>
      <c r="E50" s="139">
        <v>5</v>
      </c>
      <c r="F50" s="139"/>
      <c r="G50" s="136">
        <f t="shared" si="7"/>
        <v>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6.5" customHeight="1">
      <c r="A51" s="137">
        <v>5.6</v>
      </c>
      <c r="B51" s="138">
        <v>98504</v>
      </c>
      <c r="C51" s="138" t="s">
        <v>60</v>
      </c>
      <c r="D51" s="132" t="s">
        <v>93</v>
      </c>
      <c r="E51" s="139">
        <v>35</v>
      </c>
      <c r="F51" s="139"/>
      <c r="G51" s="136">
        <f t="shared" si="7"/>
        <v>0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52.5" customHeight="1">
      <c r="A52" s="137">
        <v>5.7</v>
      </c>
      <c r="B52" s="138">
        <v>94275</v>
      </c>
      <c r="C52" s="138" t="s">
        <v>70</v>
      </c>
      <c r="D52" s="137" t="s">
        <v>94</v>
      </c>
      <c r="E52" s="139">
        <v>65</v>
      </c>
      <c r="F52" s="139"/>
      <c r="G52" s="136">
        <f t="shared" si="7"/>
        <v>0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6.5" customHeight="1">
      <c r="A53" s="126"/>
      <c r="B53" s="113"/>
      <c r="C53" s="113"/>
      <c r="D53" s="705" t="s">
        <v>95</v>
      </c>
      <c r="E53" s="682"/>
      <c r="F53" s="683"/>
      <c r="G53" s="130">
        <f>SUM(G46:G52)</f>
        <v>0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25" customHeight="1">
      <c r="A54" s="95">
        <v>6</v>
      </c>
      <c r="B54" s="693" t="s">
        <v>96</v>
      </c>
      <c r="C54" s="682"/>
      <c r="D54" s="682"/>
      <c r="E54" s="682"/>
      <c r="F54" s="682"/>
      <c r="G54" s="683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9.25" customHeight="1">
      <c r="A55" s="102">
        <v>6.1</v>
      </c>
      <c r="B55" s="97">
        <v>84665</v>
      </c>
      <c r="C55" s="97" t="s">
        <v>60</v>
      </c>
      <c r="D55" s="137" t="s">
        <v>97</v>
      </c>
      <c r="E55" s="123">
        <v>4</v>
      </c>
      <c r="F55" s="123"/>
      <c r="G55" s="105">
        <f t="shared" ref="G55:G59" si="8">F55*E55</f>
        <v>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5.5" customHeight="1">
      <c r="A56" s="102">
        <v>6.2</v>
      </c>
      <c r="B56" s="97">
        <v>84665</v>
      </c>
      <c r="C56" s="97" t="s">
        <v>60</v>
      </c>
      <c r="D56" s="137" t="s">
        <v>98</v>
      </c>
      <c r="E56" s="123">
        <f>79.81+5+4.44+(0.84*4)+(1.43*2)+(0.14*37)+9.54</f>
        <v>110.19</v>
      </c>
      <c r="F56" s="123"/>
      <c r="G56" s="105">
        <f t="shared" si="8"/>
        <v>0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7.25" customHeight="1">
      <c r="A57" s="102">
        <v>6.3</v>
      </c>
      <c r="B57" s="97" t="s">
        <v>99</v>
      </c>
      <c r="C57" s="97" t="s">
        <v>45</v>
      </c>
      <c r="D57" s="134" t="str">
        <f>'Composição de Custos '!D329</f>
        <v>PLACA DE SINALIZAÇÃO VERTICAL COM PINTURA REFLETIVA</v>
      </c>
      <c r="E57" s="123">
        <v>4</v>
      </c>
      <c r="F57" s="123"/>
      <c r="G57" s="105">
        <f t="shared" si="8"/>
        <v>0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38.25" customHeight="1">
      <c r="A58" s="102">
        <v>6.4</v>
      </c>
      <c r="B58" s="97">
        <v>94995</v>
      </c>
      <c r="C58" s="97" t="s">
        <v>60</v>
      </c>
      <c r="D58" s="134" t="s">
        <v>81</v>
      </c>
      <c r="E58" s="123">
        <v>359</v>
      </c>
      <c r="F58" s="123"/>
      <c r="G58" s="105">
        <f t="shared" si="8"/>
        <v>0</v>
      </c>
      <c r="H58" s="79"/>
      <c r="I58" s="79"/>
      <c r="J58" s="120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5.5" customHeight="1">
      <c r="A59" s="102">
        <v>6.5</v>
      </c>
      <c r="B59" s="97">
        <v>97635</v>
      </c>
      <c r="C59" s="97" t="s">
        <v>60</v>
      </c>
      <c r="D59" s="137" t="s">
        <v>80</v>
      </c>
      <c r="E59" s="123">
        <v>332</v>
      </c>
      <c r="F59" s="123"/>
      <c r="G59" s="105">
        <f t="shared" si="8"/>
        <v>0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7.75" customHeight="1">
      <c r="A60" s="102">
        <v>6.6</v>
      </c>
      <c r="B60" s="97">
        <v>84665</v>
      </c>
      <c r="C60" s="97" t="s">
        <v>60</v>
      </c>
      <c r="D60" s="137" t="s">
        <v>101</v>
      </c>
      <c r="E60" s="123">
        <f>4*1.44</f>
        <v>5.76</v>
      </c>
      <c r="F60" s="123"/>
      <c r="G60" s="105">
        <f>E60*F60</f>
        <v>0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2.75" customHeight="1">
      <c r="A61" s="102">
        <v>6.7</v>
      </c>
      <c r="B61" s="97">
        <v>72897</v>
      </c>
      <c r="C61" s="124" t="s">
        <v>82</v>
      </c>
      <c r="D61" s="134" t="s">
        <v>83</v>
      </c>
      <c r="E61" s="125">
        <v>20</v>
      </c>
      <c r="F61" s="123"/>
      <c r="G61" s="105">
        <f t="shared" ref="G61:G68" si="9">F61*E61</f>
        <v>0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2.75" customHeight="1">
      <c r="A62" s="132">
        <v>6.8</v>
      </c>
      <c r="B62" s="133">
        <v>99814</v>
      </c>
      <c r="C62" s="133" t="s">
        <v>60</v>
      </c>
      <c r="D62" s="132" t="s">
        <v>104</v>
      </c>
      <c r="E62" s="135">
        <v>200</v>
      </c>
      <c r="F62" s="135"/>
      <c r="G62" s="136">
        <f t="shared" si="9"/>
        <v>0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30" customHeight="1">
      <c r="A63" s="137">
        <v>6.9</v>
      </c>
      <c r="B63" s="138">
        <v>84665</v>
      </c>
      <c r="C63" s="138" t="s">
        <v>60</v>
      </c>
      <c r="D63" s="137" t="s">
        <v>108</v>
      </c>
      <c r="E63" s="145">
        <v>12.65</v>
      </c>
      <c r="F63" s="139"/>
      <c r="G63" s="136">
        <f t="shared" si="9"/>
        <v>0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7.75" customHeight="1">
      <c r="A64" s="147">
        <v>6.1</v>
      </c>
      <c r="B64" s="148">
        <v>84665</v>
      </c>
      <c r="C64" s="148" t="s">
        <v>60</v>
      </c>
      <c r="D64" s="134" t="s">
        <v>111</v>
      </c>
      <c r="E64" s="103">
        <v>69.599999999999994</v>
      </c>
      <c r="F64" s="103"/>
      <c r="G64" s="136">
        <f t="shared" si="9"/>
        <v>0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31.5" customHeight="1">
      <c r="A65" s="137">
        <v>6.11</v>
      </c>
      <c r="B65" s="148">
        <v>84665</v>
      </c>
      <c r="C65" s="149" t="s">
        <v>60</v>
      </c>
      <c r="D65" s="134" t="s">
        <v>114</v>
      </c>
      <c r="E65" s="103">
        <v>69.599999999999994</v>
      </c>
      <c r="F65" s="103"/>
      <c r="G65" s="136">
        <f t="shared" si="9"/>
        <v>0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7.75" customHeight="1">
      <c r="A66" s="137">
        <v>6.12</v>
      </c>
      <c r="B66" s="148" t="s">
        <v>115</v>
      </c>
      <c r="C66" s="148" t="s">
        <v>45</v>
      </c>
      <c r="D66" s="134" t="s">
        <v>116</v>
      </c>
      <c r="E66" s="103">
        <v>6</v>
      </c>
      <c r="F66" s="125"/>
      <c r="G66" s="136">
        <f t="shared" si="9"/>
        <v>0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33.75" customHeight="1">
      <c r="A67" s="137">
        <v>6.13</v>
      </c>
      <c r="B67" s="138" t="s">
        <v>118</v>
      </c>
      <c r="C67" s="138" t="s">
        <v>60</v>
      </c>
      <c r="D67" s="134" t="s">
        <v>119</v>
      </c>
      <c r="E67" s="134">
        <v>37.75</v>
      </c>
      <c r="F67" s="134"/>
      <c r="G67" s="136">
        <f t="shared" si="9"/>
        <v>0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33.75" customHeight="1">
      <c r="A68" s="137">
        <v>6.14</v>
      </c>
      <c r="B68" s="138" t="s">
        <v>123</v>
      </c>
      <c r="C68" s="138" t="s">
        <v>60</v>
      </c>
      <c r="D68" s="137" t="s">
        <v>124</v>
      </c>
      <c r="E68" s="145">
        <v>24.85</v>
      </c>
      <c r="F68" s="139"/>
      <c r="G68" s="136">
        <f t="shared" si="9"/>
        <v>0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3.5" customHeight="1">
      <c r="A69" s="113"/>
      <c r="B69" s="113"/>
      <c r="C69" s="113"/>
      <c r="D69" s="705" t="s">
        <v>84</v>
      </c>
      <c r="E69" s="682"/>
      <c r="F69" s="683"/>
      <c r="G69" s="130">
        <f>SUM(G55:G68)</f>
        <v>0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2.75" customHeight="1">
      <c r="A70" s="95">
        <v>7</v>
      </c>
      <c r="B70" s="693" t="s">
        <v>131</v>
      </c>
      <c r="C70" s="682"/>
      <c r="D70" s="682"/>
      <c r="E70" s="682"/>
      <c r="F70" s="682"/>
      <c r="G70" s="683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5.5" customHeight="1">
      <c r="A71" s="102">
        <v>7.1</v>
      </c>
      <c r="B71" s="97">
        <v>84665</v>
      </c>
      <c r="C71" s="97" t="s">
        <v>60</v>
      </c>
      <c r="D71" s="122" t="s">
        <v>134</v>
      </c>
      <c r="E71" s="105">
        <f>2+9</f>
        <v>11</v>
      </c>
      <c r="F71" s="139"/>
      <c r="G71" s="105">
        <f>F71*E71</f>
        <v>0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5.5" customHeight="1">
      <c r="A72" s="102">
        <v>7.2</v>
      </c>
      <c r="B72" s="97" t="str">
        <f>'Composição de Custos '!A52</f>
        <v>C004.1</v>
      </c>
      <c r="C72" s="97" t="s">
        <v>60</v>
      </c>
      <c r="D72" s="122" t="str">
        <f>'Composição de Custos '!D52</f>
        <v>INSTALAÇÃO DE LADRILHO HIDRAULICO TÁTIIL DIRECIONAL OU ALERTA 25X25 COR AMARELA  (ÁREA EXTERNA), INCLUSIVE EXECUÇÃO DE RASGOS NO PISO EXISTENTE PARA ENCAIXE DAS PEÇAS.</v>
      </c>
      <c r="E72" s="123">
        <v>1.75</v>
      </c>
      <c r="F72" s="105"/>
      <c r="G72" s="105">
        <f>E72*F72</f>
        <v>0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2.75" customHeight="1">
      <c r="A73" s="114"/>
      <c r="B73" s="113"/>
      <c r="C73" s="114"/>
      <c r="D73" s="694" t="s">
        <v>95</v>
      </c>
      <c r="E73" s="682"/>
      <c r="F73" s="683"/>
      <c r="G73" s="101">
        <f>SUM(G71:G72)</f>
        <v>0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2.75" customHeight="1">
      <c r="A74" s="95">
        <v>8</v>
      </c>
      <c r="B74" s="693" t="s">
        <v>137</v>
      </c>
      <c r="C74" s="682"/>
      <c r="D74" s="682"/>
      <c r="E74" s="682"/>
      <c r="F74" s="682"/>
      <c r="G74" s="683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5.5" customHeight="1">
      <c r="A75" s="102">
        <v>8.1</v>
      </c>
      <c r="B75" s="97">
        <v>97635</v>
      </c>
      <c r="C75" s="97" t="s">
        <v>60</v>
      </c>
      <c r="D75" s="122" t="s">
        <v>80</v>
      </c>
      <c r="E75" s="123">
        <f>35.33+413</f>
        <v>448.33</v>
      </c>
      <c r="F75" s="139"/>
      <c r="G75" s="105">
        <f t="shared" ref="G75:G87" si="10">F75*E75</f>
        <v>0</v>
      </c>
      <c r="H75" s="159"/>
      <c r="I75" s="160"/>
      <c r="J75" s="161"/>
      <c r="K75" s="164"/>
      <c r="L75" s="166"/>
      <c r="M75" s="167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38.25" customHeight="1">
      <c r="A76" s="132">
        <v>8.1999999999999993</v>
      </c>
      <c r="B76" s="133">
        <v>97629</v>
      </c>
      <c r="C76" s="133" t="s">
        <v>82</v>
      </c>
      <c r="D76" s="134" t="s">
        <v>143</v>
      </c>
      <c r="E76" s="135">
        <v>0.08</v>
      </c>
      <c r="F76" s="168"/>
      <c r="G76" s="136">
        <f t="shared" si="10"/>
        <v>0</v>
      </c>
      <c r="H76" s="159"/>
      <c r="I76" s="169"/>
      <c r="J76" s="161"/>
      <c r="K76" s="164"/>
      <c r="L76" s="166"/>
      <c r="M76" s="167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38.25" customHeight="1">
      <c r="A77" s="132">
        <v>8.3000000000000007</v>
      </c>
      <c r="B77" s="133" t="s">
        <v>105</v>
      </c>
      <c r="C77" s="133" t="s">
        <v>70</v>
      </c>
      <c r="D77" s="134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77" s="135">
        <v>9</v>
      </c>
      <c r="F77" s="168"/>
      <c r="G77" s="136">
        <f t="shared" si="10"/>
        <v>0</v>
      </c>
      <c r="H77" s="159"/>
      <c r="I77" s="169"/>
      <c r="J77" s="161"/>
      <c r="K77" s="164"/>
      <c r="L77" s="166"/>
      <c r="M77" s="167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4" customHeight="1">
      <c r="A78" s="132">
        <v>8.4</v>
      </c>
      <c r="B78" s="133" t="str">
        <f>'Composição de Custos '!A937</f>
        <v>C086</v>
      </c>
      <c r="C78" s="133" t="s">
        <v>70</v>
      </c>
      <c r="D78" s="137" t="str">
        <f>'Composição de Custos '!D937</f>
        <v>GUARDA-CORPO DE AÇO GALVANIZADO DE 1,10M, TRAVESSA SUPERIOR E INFERIOR DE 1.1/2", GRADIL FORMADO POR TUBOS  VERTICAIS DE 1", FIXADO COM ESPAÇAMENTO A CADA 10CM.</v>
      </c>
      <c r="E78" s="135">
        <v>3.63</v>
      </c>
      <c r="F78" s="136"/>
      <c r="G78" s="136">
        <f t="shared" si="10"/>
        <v>0</v>
      </c>
      <c r="H78" s="159"/>
      <c r="I78" s="169"/>
      <c r="J78" s="172"/>
      <c r="K78" s="167"/>
      <c r="L78" s="166"/>
      <c r="M78" s="167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2.75" customHeight="1">
      <c r="A79" s="132">
        <v>8.5</v>
      </c>
      <c r="B79" s="133" t="s">
        <v>147</v>
      </c>
      <c r="C79" s="133" t="s">
        <v>60</v>
      </c>
      <c r="D79" s="137" t="s">
        <v>148</v>
      </c>
      <c r="E79" s="135">
        <v>3.63</v>
      </c>
      <c r="F79" s="135"/>
      <c r="G79" s="136">
        <f t="shared" si="10"/>
        <v>0</v>
      </c>
      <c r="H79" s="159"/>
      <c r="I79" s="169"/>
      <c r="J79" s="173"/>
      <c r="K79" s="174"/>
      <c r="L79" s="174"/>
      <c r="M79" s="174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42.75" customHeight="1">
      <c r="A80" s="132">
        <v>8.6</v>
      </c>
      <c r="B80" s="133" t="s">
        <v>151</v>
      </c>
      <c r="C80" s="133" t="s">
        <v>70</v>
      </c>
      <c r="D80" s="134" t="str">
        <f>'Composição de Custos '!D186</f>
        <v>EXECUÇÃO DE GUIA DE BALIZAMENTO EM CONCRETO MOLDADO IN LOCO,  ARMADURA 6.3MM, LARGURA 15 CM E ALTURA 5 CM., INCLUSIVE PINTURA COM TINTA ACRÍLICA PARA PISO CIMENTADO 2 DEMÃOS.</v>
      </c>
      <c r="E80" s="135">
        <v>3.3</v>
      </c>
      <c r="F80" s="135"/>
      <c r="G80" s="136">
        <f t="shared" si="10"/>
        <v>0</v>
      </c>
      <c r="H80" s="159"/>
      <c r="I80" s="169"/>
      <c r="J80" s="173"/>
      <c r="K80" s="176"/>
      <c r="L80" s="174"/>
      <c r="M80" s="174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4.75" customHeight="1">
      <c r="A81" s="132">
        <v>8.6999999999999993</v>
      </c>
      <c r="B81" s="133" t="s">
        <v>136</v>
      </c>
      <c r="C81" s="133" t="s">
        <v>45</v>
      </c>
      <c r="D81" s="134" t="str">
        <f>'Composição de Custos '!D27</f>
        <v>SINALIZAÇÃO EM BRAILE EM ALUMÍNIO AUTO ADESIVO (100X30) MM COM ESP. 0,25MM - INDICA O PAVIMENTO</v>
      </c>
      <c r="E81" s="135">
        <v>4</v>
      </c>
      <c r="F81" s="136"/>
      <c r="G81" s="136">
        <f t="shared" si="10"/>
        <v>0</v>
      </c>
      <c r="H81" s="159"/>
      <c r="I81" s="169"/>
      <c r="J81" s="177"/>
      <c r="K81" s="176"/>
      <c r="L81" s="174"/>
      <c r="M81" s="174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38.25" customHeight="1">
      <c r="A82" s="132">
        <v>8.8000000000000007</v>
      </c>
      <c r="B82" s="133">
        <v>94995</v>
      </c>
      <c r="C82" s="133" t="s">
        <v>60</v>
      </c>
      <c r="D82" s="134" t="s">
        <v>81</v>
      </c>
      <c r="E82" s="178">
        <v>446</v>
      </c>
      <c r="F82" s="139"/>
      <c r="G82" s="136">
        <f t="shared" si="10"/>
        <v>0</v>
      </c>
      <c r="H82" s="159"/>
      <c r="I82" s="169"/>
      <c r="J82" s="173"/>
      <c r="K82" s="174"/>
      <c r="L82" s="174"/>
      <c r="M82" s="174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30.75" customHeight="1">
      <c r="A83" s="132">
        <v>8.9</v>
      </c>
      <c r="B83" s="133">
        <v>84665</v>
      </c>
      <c r="C83" s="133" t="s">
        <v>60</v>
      </c>
      <c r="D83" s="137" t="s">
        <v>155</v>
      </c>
      <c r="E83" s="178">
        <v>5.4</v>
      </c>
      <c r="F83" s="139"/>
      <c r="G83" s="136">
        <f t="shared" si="10"/>
        <v>0</v>
      </c>
      <c r="H83" s="159"/>
      <c r="I83" s="169"/>
      <c r="J83" s="173"/>
      <c r="K83" s="167"/>
      <c r="L83" s="167"/>
      <c r="M83" s="167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9.25" customHeight="1">
      <c r="A84" s="179">
        <v>8.1</v>
      </c>
      <c r="B84" s="133">
        <v>84665</v>
      </c>
      <c r="C84" s="133" t="s">
        <v>60</v>
      </c>
      <c r="D84" s="137" t="s">
        <v>158</v>
      </c>
      <c r="E84" s="178">
        <f>0.5*13</f>
        <v>6.5</v>
      </c>
      <c r="F84" s="139"/>
      <c r="G84" s="136">
        <f t="shared" si="10"/>
        <v>0</v>
      </c>
      <c r="H84" s="159"/>
      <c r="I84" s="169"/>
      <c r="J84" s="173"/>
      <c r="K84" s="167"/>
      <c r="L84" s="167"/>
      <c r="M84" s="167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5.5" customHeight="1">
      <c r="A85" s="179">
        <v>8.11</v>
      </c>
      <c r="B85" s="133" t="s">
        <v>159</v>
      </c>
      <c r="C85" s="133" t="s">
        <v>60</v>
      </c>
      <c r="D85" s="134" t="s">
        <v>160</v>
      </c>
      <c r="E85" s="135">
        <v>5.88</v>
      </c>
      <c r="F85" s="139"/>
      <c r="G85" s="136">
        <f t="shared" si="10"/>
        <v>0</v>
      </c>
      <c r="H85" s="159"/>
      <c r="I85" s="169"/>
      <c r="J85" s="172"/>
      <c r="K85" s="167"/>
      <c r="L85" s="166"/>
      <c r="M85" s="167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5.5" customHeight="1">
      <c r="A86" s="179">
        <v>8.1199999999999992</v>
      </c>
      <c r="B86" s="133" t="s">
        <v>153</v>
      </c>
      <c r="C86" s="133" t="s">
        <v>60</v>
      </c>
      <c r="D86" s="134" t="s">
        <v>163</v>
      </c>
      <c r="E86" s="136">
        <v>19</v>
      </c>
      <c r="F86" s="136"/>
      <c r="G86" s="136">
        <f t="shared" si="10"/>
        <v>0</v>
      </c>
      <c r="H86" s="159"/>
      <c r="I86" s="180"/>
      <c r="J86" s="173"/>
      <c r="K86" s="181"/>
      <c r="L86" s="166"/>
      <c r="M86" s="182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5.5" customHeight="1">
      <c r="A87" s="179">
        <v>8.1300000000000008</v>
      </c>
      <c r="B87" s="133" t="s">
        <v>153</v>
      </c>
      <c r="C87" s="133" t="s">
        <v>60</v>
      </c>
      <c r="D87" s="134" t="s">
        <v>166</v>
      </c>
      <c r="E87" s="168">
        <v>38</v>
      </c>
      <c r="F87" s="136"/>
      <c r="G87" s="136">
        <f t="shared" si="10"/>
        <v>0</v>
      </c>
      <c r="H87" s="159"/>
      <c r="I87" s="180"/>
      <c r="J87" s="173"/>
      <c r="K87" s="181"/>
      <c r="L87" s="166"/>
      <c r="M87" s="182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5.5" customHeight="1">
      <c r="A88" s="179">
        <v>8.14</v>
      </c>
      <c r="B88" s="133" t="s">
        <v>161</v>
      </c>
      <c r="C88" s="133" t="s">
        <v>60</v>
      </c>
      <c r="D88" s="137" t="s">
        <v>169</v>
      </c>
      <c r="E88" s="168">
        <v>28</v>
      </c>
      <c r="F88" s="136"/>
      <c r="G88" s="136">
        <f>E88*F88</f>
        <v>0</v>
      </c>
      <c r="H88" s="159"/>
      <c r="I88" s="180"/>
      <c r="J88" s="173"/>
      <c r="K88" s="181"/>
      <c r="L88" s="166"/>
      <c r="M88" s="182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5.5" customHeight="1">
      <c r="A89" s="179">
        <v>8.15</v>
      </c>
      <c r="B89" s="133" t="s">
        <v>161</v>
      </c>
      <c r="C89" s="133" t="s">
        <v>60</v>
      </c>
      <c r="D89" s="134" t="s">
        <v>172</v>
      </c>
      <c r="E89" s="136">
        <v>58</v>
      </c>
      <c r="F89" s="136"/>
      <c r="G89" s="136">
        <f t="shared" ref="G89:G95" si="11">F89*E89</f>
        <v>0</v>
      </c>
      <c r="H89" s="159"/>
      <c r="I89" s="180"/>
      <c r="J89" s="173"/>
      <c r="K89" s="181"/>
      <c r="L89" s="166"/>
      <c r="M89" s="182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2.75" customHeight="1">
      <c r="A90" s="179">
        <v>8.16</v>
      </c>
      <c r="B90" s="133" t="s">
        <v>174</v>
      </c>
      <c r="C90" s="133" t="s">
        <v>45</v>
      </c>
      <c r="D90" s="134" t="str">
        <f>'Composição de Custos '!D214</f>
        <v>MAPA TÁTIL COMPLETO (PEDESTAL + PLANO TÁTIL 70X 50CM) - PLANO TÁTIL EM ACRÍLICO E PEDESTAL EM INOX</v>
      </c>
      <c r="E90" s="136">
        <v>5</v>
      </c>
      <c r="F90" s="136"/>
      <c r="G90" s="136">
        <f t="shared" si="11"/>
        <v>0</v>
      </c>
      <c r="H90" s="159"/>
      <c r="I90" s="180"/>
      <c r="J90" s="175"/>
      <c r="K90" s="181"/>
      <c r="L90" s="181"/>
      <c r="M90" s="182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2.75" customHeight="1">
      <c r="A91" s="179">
        <v>8.17</v>
      </c>
      <c r="B91" s="133" t="s">
        <v>177</v>
      </c>
      <c r="C91" s="133" t="s">
        <v>45</v>
      </c>
      <c r="D91" s="134" t="s">
        <v>178</v>
      </c>
      <c r="E91" s="136">
        <v>8</v>
      </c>
      <c r="F91" s="136"/>
      <c r="G91" s="136">
        <f t="shared" si="11"/>
        <v>0</v>
      </c>
      <c r="H91" s="159"/>
      <c r="I91" s="180"/>
      <c r="J91" s="175"/>
      <c r="K91" s="181"/>
      <c r="L91" s="181"/>
      <c r="M91" s="182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39.75" customHeight="1">
      <c r="A92" s="179">
        <v>8.18</v>
      </c>
      <c r="B92" s="133">
        <v>84665</v>
      </c>
      <c r="C92" s="133" t="s">
        <v>60</v>
      </c>
      <c r="D92" s="134" t="s">
        <v>182</v>
      </c>
      <c r="E92" s="136">
        <v>100</v>
      </c>
      <c r="F92" s="136"/>
      <c r="G92" s="136">
        <f t="shared" si="11"/>
        <v>0</v>
      </c>
      <c r="H92" s="159"/>
      <c r="I92" s="180"/>
      <c r="J92" s="175"/>
      <c r="K92" s="181"/>
      <c r="L92" s="181"/>
      <c r="M92" s="182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2.75" customHeight="1">
      <c r="A93" s="106">
        <v>8.19</v>
      </c>
      <c r="B93" s="97">
        <v>72897</v>
      </c>
      <c r="C93" s="124" t="s">
        <v>82</v>
      </c>
      <c r="D93" s="103" t="s">
        <v>83</v>
      </c>
      <c r="E93" s="125">
        <v>6</v>
      </c>
      <c r="F93" s="136"/>
      <c r="G93" s="105">
        <f t="shared" si="11"/>
        <v>0</v>
      </c>
      <c r="H93" s="159"/>
      <c r="I93" s="180"/>
      <c r="J93" s="175"/>
      <c r="K93" s="181"/>
      <c r="L93" s="181"/>
      <c r="M93" s="182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2.75" customHeight="1">
      <c r="A94" s="179">
        <v>8.1999999999999993</v>
      </c>
      <c r="B94" s="133">
        <v>99803</v>
      </c>
      <c r="C94" s="133" t="s">
        <v>82</v>
      </c>
      <c r="D94" s="134" t="s">
        <v>186</v>
      </c>
      <c r="E94" s="135">
        <v>40</v>
      </c>
      <c r="F94" s="135"/>
      <c r="G94" s="136">
        <f t="shared" si="11"/>
        <v>0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32.25" customHeight="1">
      <c r="A95" s="183">
        <v>8.2100000000000009</v>
      </c>
      <c r="B95" s="138" t="s">
        <v>123</v>
      </c>
      <c r="C95" s="138" t="s">
        <v>60</v>
      </c>
      <c r="D95" s="137" t="s">
        <v>124</v>
      </c>
      <c r="E95" s="139">
        <v>16</v>
      </c>
      <c r="F95" s="139"/>
      <c r="G95" s="136">
        <f t="shared" si="11"/>
        <v>0</v>
      </c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2.75" customHeight="1">
      <c r="A96" s="184"/>
      <c r="B96" s="185"/>
      <c r="C96" s="186"/>
      <c r="D96" s="702" t="s">
        <v>84</v>
      </c>
      <c r="E96" s="703"/>
      <c r="F96" s="704"/>
      <c r="G96" s="187">
        <f>SUM(G75:G95)</f>
        <v>0</v>
      </c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" customHeight="1">
      <c r="A97" s="95">
        <v>9</v>
      </c>
      <c r="B97" s="693" t="s">
        <v>193</v>
      </c>
      <c r="C97" s="682"/>
      <c r="D97" s="682"/>
      <c r="E97" s="682"/>
      <c r="F97" s="682"/>
      <c r="G97" s="683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5.5" customHeight="1">
      <c r="A98" s="102">
        <v>9.1</v>
      </c>
      <c r="B98" s="97">
        <v>97635</v>
      </c>
      <c r="C98" s="97" t="s">
        <v>60</v>
      </c>
      <c r="D98" s="122" t="s">
        <v>80</v>
      </c>
      <c r="E98" s="123">
        <v>12.5</v>
      </c>
      <c r="F98" s="136"/>
      <c r="G98" s="189">
        <f t="shared" ref="G98:G110" si="12">F98*E98</f>
        <v>0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38.25" customHeight="1">
      <c r="A99" s="102">
        <v>9.1999999999999993</v>
      </c>
      <c r="B99" s="97">
        <v>94995</v>
      </c>
      <c r="C99" s="97" t="s">
        <v>60</v>
      </c>
      <c r="D99" s="103" t="s">
        <v>81</v>
      </c>
      <c r="E99" s="190">
        <v>12.5</v>
      </c>
      <c r="F99" s="136"/>
      <c r="G99" s="105">
        <f t="shared" si="12"/>
        <v>0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7.75" customHeight="1">
      <c r="A100" s="102"/>
      <c r="B100" s="138" t="s">
        <v>123</v>
      </c>
      <c r="C100" s="138" t="s">
        <v>60</v>
      </c>
      <c r="D100" s="137" t="s">
        <v>124</v>
      </c>
      <c r="E100" s="145">
        <v>24.85</v>
      </c>
      <c r="F100" s="136"/>
      <c r="G100" s="136">
        <f t="shared" si="12"/>
        <v>0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7.75" customHeight="1">
      <c r="A101" s="102">
        <v>9.3000000000000007</v>
      </c>
      <c r="B101" s="97">
        <v>84665</v>
      </c>
      <c r="C101" s="97" t="s">
        <v>60</v>
      </c>
      <c r="D101" s="193" t="s">
        <v>199</v>
      </c>
      <c r="E101" s="105">
        <f>((22+38+36+20)*0.5)+(0.2*20)</f>
        <v>62</v>
      </c>
      <c r="F101" s="136"/>
      <c r="G101" s="105">
        <f t="shared" si="12"/>
        <v>0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7.75" customHeight="1">
      <c r="A102" s="102">
        <v>9.4</v>
      </c>
      <c r="B102" s="97">
        <v>84665</v>
      </c>
      <c r="C102" s="97" t="s">
        <v>60</v>
      </c>
      <c r="D102" s="193" t="s">
        <v>108</v>
      </c>
      <c r="E102" s="105">
        <f>(1.5*4)+(0.83*8)</f>
        <v>12.64</v>
      </c>
      <c r="F102" s="136"/>
      <c r="G102" s="105">
        <f t="shared" si="12"/>
        <v>0</v>
      </c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9.5" customHeight="1">
      <c r="A103" s="102">
        <v>9.5</v>
      </c>
      <c r="B103" s="97">
        <v>84665</v>
      </c>
      <c r="C103" s="97" t="s">
        <v>60</v>
      </c>
      <c r="D103" s="193" t="s">
        <v>98</v>
      </c>
      <c r="E103" s="105">
        <f>1.12*18</f>
        <v>20.160000000000004</v>
      </c>
      <c r="F103" s="136"/>
      <c r="G103" s="105">
        <f t="shared" si="12"/>
        <v>0</v>
      </c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25" customHeight="1">
      <c r="A104" s="102">
        <v>9.6</v>
      </c>
      <c r="B104" s="196" t="s">
        <v>99</v>
      </c>
      <c r="C104" s="97" t="s">
        <v>45</v>
      </c>
      <c r="D104" s="153" t="str">
        <f>'Composição de Custos '!D329</f>
        <v>PLACA DE SINALIZAÇÃO VERTICAL COM PINTURA REFLETIVA</v>
      </c>
      <c r="E104" s="105">
        <v>7</v>
      </c>
      <c r="F104" s="105"/>
      <c r="G104" s="105">
        <f t="shared" si="12"/>
        <v>0</v>
      </c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30" customHeight="1">
      <c r="A105" s="102">
        <v>9.6999999999999993</v>
      </c>
      <c r="B105" s="97">
        <v>84665</v>
      </c>
      <c r="C105" s="97" t="s">
        <v>60</v>
      </c>
      <c r="D105" s="193" t="s">
        <v>101</v>
      </c>
      <c r="E105" s="105">
        <v>1.44</v>
      </c>
      <c r="F105" s="105"/>
      <c r="G105" s="105">
        <f t="shared" si="12"/>
        <v>0</v>
      </c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2.75" customHeight="1">
      <c r="A106" s="102">
        <v>9.8000000000000007</v>
      </c>
      <c r="B106" s="97" t="s">
        <v>115</v>
      </c>
      <c r="C106" s="97" t="s">
        <v>45</v>
      </c>
      <c r="D106" s="193" t="str">
        <f>'Composição de Custos '!D492</f>
        <v>EXECUÇÃO DE BICICLETÁRIO EM TUBO DE AÇO GALVANIZADO, DIÂMENTRO = 50MM - INSTALAÇÃO E PINTURA</v>
      </c>
      <c r="E106" s="105">
        <v>6</v>
      </c>
      <c r="F106" s="105"/>
      <c r="G106" s="105">
        <f t="shared" si="12"/>
        <v>0</v>
      </c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2.75" customHeight="1">
      <c r="A107" s="102">
        <v>9.9</v>
      </c>
      <c r="B107" s="97">
        <v>72897</v>
      </c>
      <c r="C107" s="211" t="s">
        <v>82</v>
      </c>
      <c r="D107" s="213" t="s">
        <v>83</v>
      </c>
      <c r="E107" s="216">
        <v>4</v>
      </c>
      <c r="F107" s="105"/>
      <c r="G107" s="105">
        <f t="shared" si="12"/>
        <v>0</v>
      </c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2.75" customHeight="1">
      <c r="A108" s="179">
        <v>9.1</v>
      </c>
      <c r="B108" s="133">
        <v>99814</v>
      </c>
      <c r="C108" s="133" t="s">
        <v>60</v>
      </c>
      <c r="D108" s="132" t="s">
        <v>104</v>
      </c>
      <c r="E108" s="135">
        <v>15</v>
      </c>
      <c r="F108" s="135"/>
      <c r="G108" s="136">
        <f t="shared" si="12"/>
        <v>0</v>
      </c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7" customHeight="1">
      <c r="A109" s="227">
        <v>9.11</v>
      </c>
      <c r="B109" s="138" t="s">
        <v>118</v>
      </c>
      <c r="C109" s="138" t="s">
        <v>60</v>
      </c>
      <c r="D109" s="137" t="s">
        <v>119</v>
      </c>
      <c r="E109" s="139">
        <v>11</v>
      </c>
      <c r="F109" s="139"/>
      <c r="G109" s="139">
        <f t="shared" si="12"/>
        <v>0</v>
      </c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2.75" customHeight="1">
      <c r="A110" s="227">
        <v>9.1199999999999992</v>
      </c>
      <c r="B110" s="138" t="s">
        <v>206</v>
      </c>
      <c r="C110" s="138" t="s">
        <v>45</v>
      </c>
      <c r="D110" s="132" t="s">
        <v>207</v>
      </c>
      <c r="E110" s="139">
        <v>8</v>
      </c>
      <c r="F110" s="139"/>
      <c r="G110" s="139">
        <f t="shared" si="12"/>
        <v>0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2.75" customHeight="1">
      <c r="A111" s="185"/>
      <c r="B111" s="185"/>
      <c r="C111" s="185"/>
      <c r="D111" s="702" t="s">
        <v>84</v>
      </c>
      <c r="E111" s="703"/>
      <c r="F111" s="704"/>
      <c r="G111" s="230">
        <f>SUM(G98:G110)</f>
        <v>0</v>
      </c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2.75" customHeight="1">
      <c r="A112" s="95">
        <v>10</v>
      </c>
      <c r="B112" s="696" t="s">
        <v>216</v>
      </c>
      <c r="C112" s="682"/>
      <c r="D112" s="682"/>
      <c r="E112" s="682"/>
      <c r="F112" s="682"/>
      <c r="G112" s="683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38.25" customHeight="1">
      <c r="A113" s="102">
        <v>10.1</v>
      </c>
      <c r="B113" s="97">
        <v>97635</v>
      </c>
      <c r="C113" s="97" t="s">
        <v>60</v>
      </c>
      <c r="D113" s="122" t="s">
        <v>80</v>
      </c>
      <c r="E113" s="139">
        <v>114</v>
      </c>
      <c r="F113" s="139"/>
      <c r="G113" s="189">
        <f t="shared" ref="G113:G117" si="13">F113*E113</f>
        <v>0</v>
      </c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38.25" customHeight="1">
      <c r="A114" s="102">
        <v>10.199999999999999</v>
      </c>
      <c r="B114" s="97">
        <v>94995</v>
      </c>
      <c r="C114" s="97" t="s">
        <v>60</v>
      </c>
      <c r="D114" s="103" t="s">
        <v>81</v>
      </c>
      <c r="E114" s="105">
        <f>9.5*12</f>
        <v>114</v>
      </c>
      <c r="F114" s="139"/>
      <c r="G114" s="105">
        <f t="shared" si="13"/>
        <v>0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2.75" customHeight="1">
      <c r="A115" s="102">
        <v>10.3</v>
      </c>
      <c r="B115" s="97">
        <v>72897</v>
      </c>
      <c r="C115" s="124" t="s">
        <v>82</v>
      </c>
      <c r="D115" s="103" t="s">
        <v>83</v>
      </c>
      <c r="E115" s="125">
        <v>3</v>
      </c>
      <c r="F115" s="139"/>
      <c r="G115" s="105">
        <f t="shared" si="13"/>
        <v>0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2.75" customHeight="1">
      <c r="A116" s="132">
        <v>10.4</v>
      </c>
      <c r="B116" s="236">
        <v>97635</v>
      </c>
      <c r="C116" s="236" t="s">
        <v>60</v>
      </c>
      <c r="D116" s="237" t="s">
        <v>80</v>
      </c>
      <c r="E116" s="238">
        <v>8.9700000000000006</v>
      </c>
      <c r="F116" s="238"/>
      <c r="G116" s="239">
        <f t="shared" si="13"/>
        <v>0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2.75" customHeight="1">
      <c r="A117" s="132">
        <v>10.5</v>
      </c>
      <c r="B117" s="133">
        <v>99814</v>
      </c>
      <c r="C117" s="133" t="s">
        <v>60</v>
      </c>
      <c r="D117" s="132" t="s">
        <v>104</v>
      </c>
      <c r="E117" s="135">
        <v>25</v>
      </c>
      <c r="F117" s="135"/>
      <c r="G117" s="136">
        <f t="shared" si="13"/>
        <v>0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2.75" customHeight="1">
      <c r="A118" s="241"/>
      <c r="B118" s="113"/>
      <c r="C118" s="114"/>
      <c r="D118" s="713" t="s">
        <v>84</v>
      </c>
      <c r="E118" s="682"/>
      <c r="F118" s="683"/>
      <c r="G118" s="101">
        <f>SUM(G113:G117)</f>
        <v>0</v>
      </c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2.75" customHeight="1">
      <c r="A119" s="115"/>
      <c r="B119" s="116"/>
      <c r="C119" s="116"/>
      <c r="D119" s="117" t="s">
        <v>222</v>
      </c>
      <c r="E119" s="118"/>
      <c r="F119" s="119"/>
      <c r="G119" s="119">
        <f>G118+G111+G96+G73+G69+G53+G44+G38</f>
        <v>0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2.75" customHeight="1">
      <c r="A120" s="115"/>
      <c r="B120" s="116"/>
      <c r="C120" s="116"/>
      <c r="D120" s="117" t="s">
        <v>76</v>
      </c>
      <c r="E120" s="121">
        <f>BDI!D16/100</f>
        <v>0</v>
      </c>
      <c r="F120" s="119"/>
      <c r="G120" s="119">
        <f>E120*G119</f>
        <v>0</v>
      </c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2.75" customHeight="1">
      <c r="A121" s="115"/>
      <c r="B121" s="116"/>
      <c r="C121" s="116"/>
      <c r="D121" s="117" t="s">
        <v>225</v>
      </c>
      <c r="E121" s="118"/>
      <c r="F121" s="119"/>
      <c r="G121" s="119">
        <f>G119+G120</f>
        <v>0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8" customHeight="1">
      <c r="A122" s="701" t="s">
        <v>226</v>
      </c>
      <c r="B122" s="682"/>
      <c r="C122" s="682"/>
      <c r="D122" s="682"/>
      <c r="E122" s="682"/>
      <c r="F122" s="682"/>
      <c r="G122" s="683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2.75" customHeight="1">
      <c r="A123" s="95">
        <v>12</v>
      </c>
      <c r="B123" s="696" t="s">
        <v>227</v>
      </c>
      <c r="C123" s="682"/>
      <c r="D123" s="682"/>
      <c r="E123" s="682"/>
      <c r="F123" s="682"/>
      <c r="G123" s="683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5.5" customHeight="1">
      <c r="A124" s="102">
        <v>12.1</v>
      </c>
      <c r="B124" s="97" t="str">
        <f>'Composição de Custos '!A90</f>
        <v>C007.1</v>
      </c>
      <c r="C124" s="254" t="s">
        <v>45</v>
      </c>
      <c r="D124" s="103" t="str">
        <f>'Composição de Custos '!D90</f>
        <v xml:space="preserve">INSTALAÇÃO DE CHAPA (2 lados) E PUXADOR HORIZONTAL( COMPRIMENTO 40CM E DIAM. 3CM) </v>
      </c>
      <c r="E124" s="255">
        <v>1</v>
      </c>
      <c r="F124" s="136"/>
      <c r="G124" s="256">
        <f t="shared" ref="G124:G141" si="14">F124*E124</f>
        <v>0</v>
      </c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5.5" customHeight="1">
      <c r="A125" s="102">
        <v>12.2</v>
      </c>
      <c r="B125" s="133" t="s">
        <v>230</v>
      </c>
      <c r="C125" s="97" t="s">
        <v>45</v>
      </c>
      <c r="D125" s="103" t="str">
        <f>'Composição de Custos '!D279</f>
        <v>PLACA DE SINALIZAÇÃO EM BRAILLE E AUTORELEVO 20 X 40 - ACRILICO COM SIMBOLO INTERNACIONAL DE ACESSO CONFORME PROJETO</v>
      </c>
      <c r="E125" s="257">
        <v>1</v>
      </c>
      <c r="F125" s="136"/>
      <c r="G125" s="105">
        <f t="shared" si="14"/>
        <v>0</v>
      </c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2.75" customHeight="1">
      <c r="A126" s="102">
        <v>12.3</v>
      </c>
      <c r="B126" s="97" t="s">
        <v>233</v>
      </c>
      <c r="C126" s="97" t="s">
        <v>60</v>
      </c>
      <c r="D126" s="134" t="str">
        <f>'Composição de Custos '!D502</f>
        <v>RETIRADA DE CHAPA DE GRANITO DE BOX DE BANHEIRO COMO REAPROVEITAMENTO</v>
      </c>
      <c r="E126" s="125">
        <v>0.66</v>
      </c>
      <c r="F126" s="136"/>
      <c r="G126" s="105">
        <f t="shared" si="14"/>
        <v>0</v>
      </c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38.25" customHeight="1">
      <c r="A127" s="102">
        <v>12.4</v>
      </c>
      <c r="B127" s="133" t="s">
        <v>170</v>
      </c>
      <c r="C127" s="97" t="s">
        <v>45</v>
      </c>
      <c r="D127" s="134" t="str">
        <f>'Composição de Custos '!D60</f>
        <v>ADEQUAÇÃO DA ALTURA DE APARELHOS DE MICTÓRIOS PARA ADEQUAÇÃO DA NORMA DE ACESSIBILIDADE, NBR 9050, INCLUINDO ALTURA DA VALVULA DE ACIONAMENTO</v>
      </c>
      <c r="E127" s="257">
        <v>1</v>
      </c>
      <c r="F127" s="136"/>
      <c r="G127" s="105">
        <f t="shared" si="14"/>
        <v>0</v>
      </c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5.5" customHeight="1">
      <c r="A128" s="102">
        <v>12.5</v>
      </c>
      <c r="B128" s="97" t="s">
        <v>184</v>
      </c>
      <c r="C128" s="97" t="s">
        <v>45</v>
      </c>
      <c r="D128" s="134" t="str">
        <f>'Composição de Custos '!D72</f>
        <v xml:space="preserve">BARRA DE APOIO EM TUBO DE AÇO INOXIDÁVEL OU ALUMÍNIO, COM 70 CM, DIAM. 30 À 45 MM, FIXAÇÃO VERTICAL OU HORIZONTAL  </v>
      </c>
      <c r="E128" s="257">
        <v>3</v>
      </c>
      <c r="F128" s="136"/>
      <c r="G128" s="105">
        <f t="shared" si="14"/>
        <v>0</v>
      </c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5.5" customHeight="1">
      <c r="A129" s="102">
        <v>12.6</v>
      </c>
      <c r="B129" s="258" t="s">
        <v>237</v>
      </c>
      <c r="C129" s="97" t="s">
        <v>45</v>
      </c>
      <c r="D129" s="259" t="str">
        <f>'Composição de Custos '!D311</f>
        <v>READEQUAÇÃO DE CUBA - RETIRAR E REINSTALAR PARA AJUSTAR ALTURA CONFORME NBR 9050. ALTURA = 80CM</v>
      </c>
      <c r="E129" s="257">
        <v>1</v>
      </c>
      <c r="F129" s="136"/>
      <c r="G129" s="105">
        <f t="shared" si="14"/>
        <v>0</v>
      </c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2.75" customHeight="1">
      <c r="A130" s="102">
        <v>12.7</v>
      </c>
      <c r="B130" s="97" t="s">
        <v>202</v>
      </c>
      <c r="C130" s="97" t="s">
        <v>45</v>
      </c>
      <c r="D130" s="103" t="str">
        <f>'Composição de Custos '!D99</f>
        <v>TORNEIRA LAVATORIO PRESSMATIC,  VOLANTE TIPO ALAVANCA, PARA LAVATÓRIO DE P.N.E DOCOL OU SIMILAR</v>
      </c>
      <c r="E130" s="257">
        <v>1</v>
      </c>
      <c r="F130" s="136"/>
      <c r="G130" s="105">
        <f t="shared" si="14"/>
        <v>0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" customHeight="1">
      <c r="A131" s="102">
        <v>12.8</v>
      </c>
      <c r="B131" s="97" t="s">
        <v>242</v>
      </c>
      <c r="C131" s="97" t="s">
        <v>45</v>
      </c>
      <c r="D131" s="134" t="str">
        <f>'Composição de Custos '!D174</f>
        <v>RETIRADA DE BARRAS DE APOIO DOS SANITÁRIOS</v>
      </c>
      <c r="E131" s="125">
        <v>3</v>
      </c>
      <c r="F131" s="136"/>
      <c r="G131" s="105">
        <f t="shared" si="14"/>
        <v>0</v>
      </c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" customHeight="1">
      <c r="A132" s="102">
        <v>12.9</v>
      </c>
      <c r="B132" s="97" t="s">
        <v>246</v>
      </c>
      <c r="C132" s="97" t="s">
        <v>45</v>
      </c>
      <c r="D132" s="134" t="str">
        <f>'Composição de Custos '!D319</f>
        <v>READEQUAÇÃO DE PONTO HIDRAULICO PARA VASO SANITÁRIO</v>
      </c>
      <c r="E132" s="125">
        <v>1</v>
      </c>
      <c r="F132" s="136"/>
      <c r="G132" s="105">
        <f t="shared" si="14"/>
        <v>0</v>
      </c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38.25" customHeight="1">
      <c r="A133" s="260">
        <v>12.1</v>
      </c>
      <c r="B133" s="97">
        <v>86931</v>
      </c>
      <c r="C133" s="97" t="s">
        <v>45</v>
      </c>
      <c r="D133" s="261" t="s">
        <v>250</v>
      </c>
      <c r="E133" s="257">
        <v>1</v>
      </c>
      <c r="F133" s="136"/>
      <c r="G133" s="105">
        <f t="shared" si="14"/>
        <v>0</v>
      </c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31.5" customHeight="1">
      <c r="A134" s="102">
        <v>12.11</v>
      </c>
      <c r="B134" s="133" t="str">
        <f>'Composição de Custos '!A179</f>
        <v>C015</v>
      </c>
      <c r="C134" s="97" t="s">
        <v>45</v>
      </c>
      <c r="D134" s="79" t="s">
        <v>253</v>
      </c>
      <c r="E134" s="125">
        <v>4</v>
      </c>
      <c r="F134" s="136"/>
      <c r="G134" s="105">
        <f t="shared" si="14"/>
        <v>0</v>
      </c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5.5" customHeight="1">
      <c r="A135" s="260">
        <v>12.12</v>
      </c>
      <c r="B135" s="97" t="s">
        <v>257</v>
      </c>
      <c r="C135" s="97" t="s">
        <v>45</v>
      </c>
      <c r="D135" s="103" t="str">
        <f>'Composição de Custos '!D158</f>
        <v>BARRA DE APOIO HORIZONTAL, EM AÇO INOX PARA P.N.E L = 80CM (VASO SANITÁRIO) CONFORME NBR 9050</v>
      </c>
      <c r="E135" s="257">
        <v>2</v>
      </c>
      <c r="F135" s="136"/>
      <c r="G135" s="105">
        <f t="shared" si="14"/>
        <v>0</v>
      </c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5.5" customHeight="1">
      <c r="A136" s="102">
        <v>12.13</v>
      </c>
      <c r="B136" s="97" t="s">
        <v>228</v>
      </c>
      <c r="C136" s="97" t="s">
        <v>45</v>
      </c>
      <c r="D136" s="103" t="str">
        <f>'Composição de Custos '!D122</f>
        <v>RELOCAÇÃO DE TOALHEIRO PLASTICO TIPO DISPENSER PARA PAPEL INTERFOLHADO PARA BOX SANITÁRIO</v>
      </c>
      <c r="E136" s="190">
        <v>1</v>
      </c>
      <c r="F136" s="136"/>
      <c r="G136" s="105">
        <f t="shared" si="14"/>
        <v>0</v>
      </c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7" customHeight="1">
      <c r="A137" s="260">
        <v>12.14</v>
      </c>
      <c r="B137" s="97" t="s">
        <v>231</v>
      </c>
      <c r="C137" s="97" t="s">
        <v>45</v>
      </c>
      <c r="D137" s="262" t="s">
        <v>232</v>
      </c>
      <c r="E137" s="190">
        <v>1</v>
      </c>
      <c r="F137" s="136"/>
      <c r="G137" s="105">
        <f t="shared" si="14"/>
        <v>0</v>
      </c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7" customHeight="1">
      <c r="A138" s="102">
        <v>12.15</v>
      </c>
      <c r="B138" s="97" t="s">
        <v>234</v>
      </c>
      <c r="C138" s="97" t="s">
        <v>45</v>
      </c>
      <c r="D138" s="177" t="s">
        <v>261</v>
      </c>
      <c r="E138" s="190">
        <v>1</v>
      </c>
      <c r="F138" s="136"/>
      <c r="G138" s="105">
        <f t="shared" si="14"/>
        <v>0</v>
      </c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>
      <c r="A139" s="260">
        <v>12.16</v>
      </c>
      <c r="B139" s="97" t="s">
        <v>262</v>
      </c>
      <c r="C139" s="97" t="s">
        <v>60</v>
      </c>
      <c r="D139" s="103" t="s">
        <v>263</v>
      </c>
      <c r="E139" s="257">
        <f>0.4*0.9</f>
        <v>0.36000000000000004</v>
      </c>
      <c r="F139" s="136"/>
      <c r="G139" s="105">
        <f t="shared" si="14"/>
        <v>0</v>
      </c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2.75" customHeight="1">
      <c r="A140" s="102">
        <v>12.17</v>
      </c>
      <c r="B140" s="97">
        <v>72897</v>
      </c>
      <c r="C140" s="211" t="s">
        <v>82</v>
      </c>
      <c r="D140" s="213" t="s">
        <v>83</v>
      </c>
      <c r="E140" s="216">
        <v>1</v>
      </c>
      <c r="F140" s="136"/>
      <c r="G140" s="105">
        <f t="shared" si="14"/>
        <v>0</v>
      </c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2.75" customHeight="1">
      <c r="A141" s="260">
        <v>12.18</v>
      </c>
      <c r="B141" s="133">
        <f>B192</f>
        <v>99803</v>
      </c>
      <c r="C141" s="133" t="s">
        <v>82</v>
      </c>
      <c r="D141" s="134" t="str">
        <f>D159</f>
        <v xml:space="preserve">LIMPEZA DE PISO CERÂMICO OU PORCELANATO COM PANO ÚMIDO. AF_04/2019 </v>
      </c>
      <c r="E141" s="135">
        <v>25</v>
      </c>
      <c r="F141" s="135"/>
      <c r="G141" s="136">
        <f t="shared" si="14"/>
        <v>0</v>
      </c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2.75" customHeight="1">
      <c r="A142" s="264"/>
      <c r="B142" s="185"/>
      <c r="C142" s="265"/>
      <c r="D142" s="709" t="s">
        <v>84</v>
      </c>
      <c r="E142" s="703"/>
      <c r="F142" s="704"/>
      <c r="G142" s="266">
        <f>SUM(G124:G141)</f>
        <v>0</v>
      </c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6.5" customHeight="1">
      <c r="A143" s="95">
        <v>13</v>
      </c>
      <c r="B143" s="696" t="s">
        <v>269</v>
      </c>
      <c r="C143" s="682"/>
      <c r="D143" s="682"/>
      <c r="E143" s="682"/>
      <c r="F143" s="682"/>
      <c r="G143" s="683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7.75" customHeight="1">
      <c r="A144" s="269">
        <v>13.1</v>
      </c>
      <c r="B144" s="97" t="str">
        <f>B124</f>
        <v>C007.1</v>
      </c>
      <c r="C144" s="97" t="s">
        <v>45</v>
      </c>
      <c r="D144" s="103" t="str">
        <f>D124</f>
        <v xml:space="preserve">INSTALAÇÃO DE CHAPA (2 lados) E PUXADOR HORIZONTAL( COMPRIMENTO 40CM E DIAM. 3CM) </v>
      </c>
      <c r="E144" s="257">
        <v>1</v>
      </c>
      <c r="F144" s="105"/>
      <c r="G144" s="105">
        <f t="shared" ref="G144:G159" si="15">F144*E144</f>
        <v>0</v>
      </c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7" customHeight="1">
      <c r="A145" s="269">
        <v>13.2</v>
      </c>
      <c r="B145" s="133" t="s">
        <v>230</v>
      </c>
      <c r="C145" s="97" t="s">
        <v>45</v>
      </c>
      <c r="D145" s="103" t="str">
        <f>'Composição de Custos '!D279</f>
        <v>PLACA DE SINALIZAÇÃO EM BRAILLE E AUTORELEVO 20 X 40 - ACRILICO COM SIMBOLO INTERNACIONAL DE ACESSO CONFORME PROJETO</v>
      </c>
      <c r="E145" s="257">
        <v>1</v>
      </c>
      <c r="F145" s="257"/>
      <c r="G145" s="105">
        <f t="shared" si="15"/>
        <v>0</v>
      </c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5.5" customHeight="1">
      <c r="A146" s="269">
        <v>13.3</v>
      </c>
      <c r="B146" s="97" t="s">
        <v>237</v>
      </c>
      <c r="C146" s="97" t="s">
        <v>45</v>
      </c>
      <c r="D146" s="103" t="str">
        <f>'Composição de Custos '!D311</f>
        <v>READEQUAÇÃO DE CUBA - RETIRAR E REINSTALAR PARA AJUSTAR ALTURA CONFORME NBR 9050. ALTURA = 80CM</v>
      </c>
      <c r="E146" s="257">
        <v>1</v>
      </c>
      <c r="F146" s="105"/>
      <c r="G146" s="105">
        <f t="shared" si="15"/>
        <v>0</v>
      </c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" customHeight="1">
      <c r="A147" s="269">
        <v>13.4</v>
      </c>
      <c r="B147" s="97" t="s">
        <v>202</v>
      </c>
      <c r="C147" s="97" t="s">
        <v>45</v>
      </c>
      <c r="D147" s="103" t="str">
        <f>'Composição de Custos '!D99</f>
        <v>TORNEIRA LAVATORIO PRESSMATIC,  VOLANTE TIPO ALAVANCA, PARA LAVATÓRIO DE P.N.E DOCOL OU SIMILAR</v>
      </c>
      <c r="E147" s="257">
        <v>1</v>
      </c>
      <c r="F147" s="105"/>
      <c r="G147" s="105">
        <f t="shared" si="15"/>
        <v>0</v>
      </c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" customHeight="1">
      <c r="A148" s="269">
        <v>13.5</v>
      </c>
      <c r="B148" s="97" t="s">
        <v>242</v>
      </c>
      <c r="C148" s="97" t="s">
        <v>45</v>
      </c>
      <c r="D148" s="103" t="str">
        <f>'Composição de Custos '!D174</f>
        <v>RETIRADA DE BARRAS DE APOIO DOS SANITÁRIOS</v>
      </c>
      <c r="E148" s="125">
        <v>3</v>
      </c>
      <c r="F148" s="105"/>
      <c r="G148" s="105">
        <f t="shared" si="15"/>
        <v>0</v>
      </c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" customHeight="1">
      <c r="A149" s="269">
        <v>13.6</v>
      </c>
      <c r="B149" s="97" t="s">
        <v>246</v>
      </c>
      <c r="C149" s="97" t="s">
        <v>45</v>
      </c>
      <c r="D149" s="103" t="str">
        <f>'Composição de Custos '!D319</f>
        <v>READEQUAÇÃO DE PONTO HIDRAULICO PARA VASO SANITÁRIO</v>
      </c>
      <c r="E149" s="125">
        <v>1</v>
      </c>
      <c r="F149" s="105"/>
      <c r="G149" s="105">
        <f t="shared" si="15"/>
        <v>0</v>
      </c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38.25" customHeight="1">
      <c r="A150" s="269">
        <v>13.7</v>
      </c>
      <c r="B150" s="97">
        <v>86931</v>
      </c>
      <c r="C150" s="97" t="s">
        <v>45</v>
      </c>
      <c r="D150" s="261" t="s">
        <v>250</v>
      </c>
      <c r="E150" s="257">
        <v>1</v>
      </c>
      <c r="F150" s="105"/>
      <c r="G150" s="105">
        <f t="shared" si="15"/>
        <v>0</v>
      </c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5.5" customHeight="1">
      <c r="A151" s="269">
        <v>13.8</v>
      </c>
      <c r="B151" s="97" t="s">
        <v>184</v>
      </c>
      <c r="C151" s="97" t="s">
        <v>45</v>
      </c>
      <c r="D151" s="103" t="str">
        <f>'Composição de Custos '!D72</f>
        <v xml:space="preserve">BARRA DE APOIO EM TUBO DE AÇO INOXIDÁVEL OU ALUMÍNIO, COM 70 CM, DIAM. 30 À 45 MM, FIXAÇÃO VERTICAL OU HORIZONTAL  </v>
      </c>
      <c r="E151" s="257">
        <v>1</v>
      </c>
      <c r="F151" s="105"/>
      <c r="G151" s="105">
        <f t="shared" si="15"/>
        <v>0</v>
      </c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5.5" customHeight="1">
      <c r="A152" s="269">
        <v>13.9</v>
      </c>
      <c r="B152" s="97" t="s">
        <v>257</v>
      </c>
      <c r="C152" s="97" t="s">
        <v>45</v>
      </c>
      <c r="D152" s="103" t="str">
        <f>'Composição de Custos '!D158</f>
        <v>BARRA DE APOIO HORIZONTAL, EM AÇO INOX PARA P.N.E L = 80CM (VASO SANITÁRIO) CONFORME NBR 9050</v>
      </c>
      <c r="E152" s="257">
        <v>2</v>
      </c>
      <c r="F152" s="105"/>
      <c r="G152" s="105">
        <f t="shared" si="15"/>
        <v>0</v>
      </c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6.25" customHeight="1">
      <c r="A153" s="273">
        <v>13.1</v>
      </c>
      <c r="B153" s="97" t="str">
        <f>'Composição de Custos '!A122</f>
        <v>C009.2.1</v>
      </c>
      <c r="C153" s="97" t="s">
        <v>45</v>
      </c>
      <c r="D153" s="103" t="str">
        <f>'Composição de Custos '!D122</f>
        <v>RELOCAÇÃO DE TOALHEIRO PLASTICO TIPO DISPENSER PARA PAPEL INTERFOLHADO PARA BOX SANITÁRIO</v>
      </c>
      <c r="E153" s="257">
        <v>1</v>
      </c>
      <c r="F153" s="105"/>
      <c r="G153" s="105">
        <f t="shared" si="15"/>
        <v>0</v>
      </c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4.75" customHeight="1">
      <c r="A154" s="269">
        <v>13.11</v>
      </c>
      <c r="B154" s="97" t="s">
        <v>231</v>
      </c>
      <c r="C154" s="97" t="s">
        <v>45</v>
      </c>
      <c r="D154" s="262" t="s">
        <v>232</v>
      </c>
      <c r="E154" s="125">
        <v>1</v>
      </c>
      <c r="F154" s="105"/>
      <c r="G154" s="123">
        <f t="shared" si="15"/>
        <v>0</v>
      </c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5.5" customHeight="1">
      <c r="A155" s="269">
        <v>13.12</v>
      </c>
      <c r="B155" s="97" t="s">
        <v>234</v>
      </c>
      <c r="C155" s="97" t="s">
        <v>45</v>
      </c>
      <c r="D155" s="177" t="s">
        <v>261</v>
      </c>
      <c r="E155" s="125">
        <v>1</v>
      </c>
      <c r="F155" s="105"/>
      <c r="G155" s="123">
        <f t="shared" si="15"/>
        <v>0</v>
      </c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5.5" customHeight="1">
      <c r="A156" s="273">
        <v>13.13</v>
      </c>
      <c r="B156" s="133" t="s">
        <v>271</v>
      </c>
      <c r="C156" s="97" t="s">
        <v>45</v>
      </c>
      <c r="D156" s="134" t="s">
        <v>253</v>
      </c>
      <c r="E156" s="257">
        <v>4</v>
      </c>
      <c r="F156" s="105"/>
      <c r="G156" s="105">
        <f t="shared" si="15"/>
        <v>0</v>
      </c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2.75" customHeight="1">
      <c r="A157" s="269">
        <v>13.14</v>
      </c>
      <c r="B157" s="97" t="str">
        <f>'Composição de Custos '!A964</f>
        <v>C0089</v>
      </c>
      <c r="C157" s="97" t="s">
        <v>60</v>
      </c>
      <c r="D157" s="103" t="s">
        <v>263</v>
      </c>
      <c r="E157" s="257">
        <f>0.4*0.9</f>
        <v>0.36000000000000004</v>
      </c>
      <c r="F157" s="105"/>
      <c r="G157" s="105">
        <f t="shared" si="15"/>
        <v>0</v>
      </c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2.75" customHeight="1">
      <c r="A158" s="269">
        <v>13.15</v>
      </c>
      <c r="B158" s="97">
        <v>72897</v>
      </c>
      <c r="C158" s="211" t="s">
        <v>82</v>
      </c>
      <c r="D158" s="213" t="s">
        <v>83</v>
      </c>
      <c r="E158" s="216">
        <v>0.5</v>
      </c>
      <c r="F158" s="105"/>
      <c r="G158" s="105">
        <f t="shared" si="15"/>
        <v>0</v>
      </c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2.75" customHeight="1">
      <c r="A159" s="273">
        <v>13.16</v>
      </c>
      <c r="B159" s="133">
        <v>99803</v>
      </c>
      <c r="C159" s="133" t="s">
        <v>82</v>
      </c>
      <c r="D159" s="134" t="str">
        <f>D894</f>
        <v xml:space="preserve">LIMPEZA DE PISO CERÂMICO OU PORCELANATO COM PANO ÚMIDO. AF_04/2019 </v>
      </c>
      <c r="E159" s="135">
        <v>25</v>
      </c>
      <c r="F159" s="105"/>
      <c r="G159" s="136">
        <f t="shared" si="15"/>
        <v>0</v>
      </c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2.75" customHeight="1">
      <c r="A160" s="264"/>
      <c r="B160" s="185"/>
      <c r="C160" s="265"/>
      <c r="D160" s="709" t="s">
        <v>84</v>
      </c>
      <c r="E160" s="703"/>
      <c r="F160" s="704"/>
      <c r="G160" s="276">
        <f>SUM(G144:G159)</f>
        <v>0</v>
      </c>
      <c r="H160" s="120" t="e">
        <f>G144+G145+G146+G147+G148+G149+G150+G151+G152+#REF!+#REF!+G153+G157+G158+G159</f>
        <v>#REF!</v>
      </c>
      <c r="I160" s="79"/>
      <c r="J160" s="79"/>
      <c r="K160" s="79"/>
      <c r="L160" s="120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6.5" customHeight="1">
      <c r="A161" s="95">
        <v>14</v>
      </c>
      <c r="B161" s="696" t="s">
        <v>284</v>
      </c>
      <c r="C161" s="682"/>
      <c r="D161" s="682"/>
      <c r="E161" s="682"/>
      <c r="F161" s="682"/>
      <c r="G161" s="683"/>
      <c r="H161" s="79"/>
      <c r="I161" s="79"/>
      <c r="J161" s="277"/>
      <c r="K161" s="277"/>
      <c r="L161" s="277"/>
      <c r="M161" s="277"/>
      <c r="N161" s="277"/>
      <c r="O161" s="277"/>
      <c r="P161" s="277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7.75" customHeight="1">
      <c r="A162" s="102">
        <v>14.1</v>
      </c>
      <c r="B162" s="124">
        <v>97622</v>
      </c>
      <c r="C162" s="124" t="s">
        <v>82</v>
      </c>
      <c r="D162" s="279" t="s">
        <v>285</v>
      </c>
      <c r="E162" s="257">
        <f>0.3*2.1*0.15</f>
        <v>9.4500000000000001E-2</v>
      </c>
      <c r="F162" s="105"/>
      <c r="G162" s="105">
        <f t="shared" ref="G162:G192" si="16">F162*E162</f>
        <v>0</v>
      </c>
      <c r="H162" s="280">
        <f>(0.11*0.15*2.68)+(0.07*0.15*2.68)+(0.15*0.05*2.68)</f>
        <v>9.2460000000000014E-2</v>
      </c>
      <c r="I162" s="79"/>
      <c r="J162" s="79">
        <v>27.071099999999998</v>
      </c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7.75" customHeight="1">
      <c r="A163" s="102">
        <v>14.2</v>
      </c>
      <c r="B163" s="282" t="str">
        <f>'Composição de Custos '!A199</f>
        <v>C017</v>
      </c>
      <c r="C163" s="97" t="s">
        <v>45</v>
      </c>
      <c r="D163" s="283" t="str">
        <f>'Composição de Custos '!D199</f>
        <v xml:space="preserve">RETIRADA E ASSENTAMENTO DE SOLEIRA EM GRANITO VERDE UBATUBA, TABEIRA, DEGRAUS E SOLEIRAS, ASSENTADO COM ARGAMASSA AC-III CONFORME PROJETO </v>
      </c>
      <c r="E163" s="125">
        <v>1</v>
      </c>
      <c r="F163" s="105"/>
      <c r="G163" s="105">
        <f t="shared" si="16"/>
        <v>0</v>
      </c>
      <c r="H163" s="277"/>
      <c r="I163" s="79"/>
      <c r="J163" s="79">
        <v>80.47</v>
      </c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7.75" customHeight="1">
      <c r="A164" s="102">
        <v>14.3</v>
      </c>
      <c r="B164" s="284" t="str">
        <f>'Composição de Custos '!A226</f>
        <v>C021.1</v>
      </c>
      <c r="C164" s="97" t="s">
        <v>45</v>
      </c>
      <c r="D164" s="285" t="str">
        <f>'Composição de Custos '!D226</f>
        <v>PORTA DE MADEIRA 1 M PUXADOR HORIZONTAL FECHADURA DE EMBUTIR CONFORME A NBR 9050 E CHAPA DE PROTEÇÃO NA PARTE INFERIOR</v>
      </c>
      <c r="E164" s="125">
        <v>1</v>
      </c>
      <c r="F164" s="105"/>
      <c r="G164" s="105">
        <f t="shared" si="16"/>
        <v>0</v>
      </c>
      <c r="H164" s="277"/>
      <c r="I164" s="79"/>
      <c r="J164" s="79">
        <v>623.39750000000004</v>
      </c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4" customHeight="1">
      <c r="A165" s="102">
        <v>14.4</v>
      </c>
      <c r="B165" s="97">
        <v>87274</v>
      </c>
      <c r="C165" s="97" t="s">
        <v>60</v>
      </c>
      <c r="D165" s="103" t="s">
        <v>290</v>
      </c>
      <c r="E165" s="286">
        <v>0.6</v>
      </c>
      <c r="F165" s="105"/>
      <c r="G165" s="256">
        <f t="shared" si="16"/>
        <v>0</v>
      </c>
      <c r="H165" s="277"/>
      <c r="I165" s="79"/>
      <c r="J165" s="79">
        <v>37.746719999999996</v>
      </c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4" customHeight="1">
      <c r="A166" s="102">
        <v>14.5</v>
      </c>
      <c r="B166" s="133" t="s">
        <v>230</v>
      </c>
      <c r="C166" s="97" t="s">
        <v>45</v>
      </c>
      <c r="D166" s="103" t="str">
        <f>'Composição de Custos '!D279</f>
        <v>PLACA DE SINALIZAÇÃO EM BRAILLE E AUTORELEVO 20 X 40 - ACRILICO COM SIMBOLO INTERNACIONAL DE ACESSO CONFORME PROJETO</v>
      </c>
      <c r="E166" s="105">
        <v>1</v>
      </c>
      <c r="F166" s="105"/>
      <c r="G166" s="105">
        <f t="shared" si="16"/>
        <v>0</v>
      </c>
      <c r="H166" s="277"/>
      <c r="I166" s="79"/>
      <c r="J166" s="79">
        <v>83.53</v>
      </c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30" customHeight="1">
      <c r="A167" s="102">
        <v>14.6</v>
      </c>
      <c r="B167" s="284" t="s">
        <v>170</v>
      </c>
      <c r="C167" s="97" t="s">
        <v>45</v>
      </c>
      <c r="D167" s="285" t="str">
        <f>'Composição de Custos '!D60</f>
        <v>ADEQUAÇÃO DA ALTURA DE APARELHOS DE MICTÓRIOS PARA ADEQUAÇÃO DA NORMA DE ACESSIBILIDADE, NBR 9050, INCLUINDO ALTURA DA VALVULA DE ACIONAMENTO</v>
      </c>
      <c r="E167" s="125">
        <v>2</v>
      </c>
      <c r="F167" s="105"/>
      <c r="G167" s="105">
        <f t="shared" si="16"/>
        <v>0</v>
      </c>
      <c r="H167" s="277"/>
      <c r="I167" s="79"/>
      <c r="J167" s="277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7.75" customHeight="1">
      <c r="A168" s="102">
        <v>14.7</v>
      </c>
      <c r="B168" s="97" t="s">
        <v>233</v>
      </c>
      <c r="C168" s="97" t="s">
        <v>60</v>
      </c>
      <c r="D168" s="103" t="str">
        <f>'Composição de Custos '!D502</f>
        <v>RETIRADA DE CHAPA DE GRANITO DE BOX DE BANHEIRO COMO REAPROVEITAMENTO</v>
      </c>
      <c r="E168" s="257">
        <v>0.3</v>
      </c>
      <c r="F168" s="105"/>
      <c r="G168" s="105">
        <f t="shared" si="16"/>
        <v>0</v>
      </c>
      <c r="H168" s="277"/>
      <c r="I168" s="79"/>
      <c r="J168" s="277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5.5" customHeight="1">
      <c r="A169" s="102">
        <v>14.8</v>
      </c>
      <c r="B169" s="284" t="s">
        <v>184</v>
      </c>
      <c r="C169" s="97" t="s">
        <v>45</v>
      </c>
      <c r="D169" s="285" t="str">
        <f>'Composição de Custos '!D72</f>
        <v xml:space="preserve">BARRA DE APOIO EM TUBO DE AÇO INOXIDÁVEL OU ALUMÍNIO, COM 70 CM, DIAM. 30 À 45 MM, FIXAÇÃO VERTICAL OU HORIZONTAL  </v>
      </c>
      <c r="E169" s="125">
        <v>6</v>
      </c>
      <c r="F169" s="105"/>
      <c r="G169" s="105">
        <f t="shared" si="16"/>
        <v>0</v>
      </c>
      <c r="H169" s="277"/>
      <c r="I169" s="79"/>
      <c r="J169" s="277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5.5" customHeight="1">
      <c r="A170" s="102">
        <v>14.9</v>
      </c>
      <c r="B170" s="290" t="s">
        <v>296</v>
      </c>
      <c r="C170" s="291" t="s">
        <v>45</v>
      </c>
      <c r="D170" s="292" t="str">
        <f>'Composição de Custos '!D291</f>
        <v>BANCO DE CONCRETO ACESSÍVEL  - FORNECIMENTO E INSTALAÇÃO COM ACABAMENTO EM PINTURA EPOXI CONFORME PROJETO ARQUITETONICO</v>
      </c>
      <c r="E170" s="190">
        <f>0.7+2.45+2.84</f>
        <v>5.99</v>
      </c>
      <c r="F170" s="105"/>
      <c r="G170" s="105">
        <f t="shared" si="16"/>
        <v>0</v>
      </c>
      <c r="H170" s="277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5.5" customHeight="1">
      <c r="A171" s="260">
        <v>14.1</v>
      </c>
      <c r="B171" s="97">
        <v>84665</v>
      </c>
      <c r="C171" s="97" t="s">
        <v>60</v>
      </c>
      <c r="D171" s="193" t="s">
        <v>298</v>
      </c>
      <c r="E171" s="190">
        <v>0.2</v>
      </c>
      <c r="F171" s="105"/>
      <c r="G171" s="105">
        <f t="shared" si="16"/>
        <v>0</v>
      </c>
      <c r="H171" s="277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5.5" customHeight="1">
      <c r="A172" s="102">
        <v>14.11</v>
      </c>
      <c r="B172" s="97">
        <v>84665</v>
      </c>
      <c r="C172" s="97" t="s">
        <v>60</v>
      </c>
      <c r="D172" s="193" t="s">
        <v>299</v>
      </c>
      <c r="E172" s="190">
        <v>0.76</v>
      </c>
      <c r="F172" s="105"/>
      <c r="G172" s="105">
        <f t="shared" si="16"/>
        <v>0</v>
      </c>
      <c r="H172" s="277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" customHeight="1">
      <c r="A173" s="260">
        <v>14.12</v>
      </c>
      <c r="B173" s="97" t="s">
        <v>242</v>
      </c>
      <c r="C173" s="97" t="s">
        <v>45</v>
      </c>
      <c r="D173" s="103" t="str">
        <f>'Composição de Custos '!D174</f>
        <v>RETIRADA DE BARRAS DE APOIO DOS SANITÁRIOS</v>
      </c>
      <c r="E173" s="125">
        <v>7</v>
      </c>
      <c r="F173" s="105"/>
      <c r="G173" s="105">
        <f t="shared" si="16"/>
        <v>0</v>
      </c>
      <c r="H173" s="277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2.75" customHeight="1">
      <c r="A174" s="102">
        <v>14.13</v>
      </c>
      <c r="B174" s="97" t="s">
        <v>246</v>
      </c>
      <c r="C174" s="97" t="s">
        <v>45</v>
      </c>
      <c r="D174" s="261" t="str">
        <f>'Composição de Custos '!D319</f>
        <v>READEQUAÇÃO DE PONTO HIDRAULICO PARA VASO SANITÁRIO</v>
      </c>
      <c r="E174" s="257">
        <v>2</v>
      </c>
      <c r="F174" s="105"/>
      <c r="G174" s="105">
        <f t="shared" si="16"/>
        <v>0</v>
      </c>
      <c r="H174" s="277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38.25" customHeight="1">
      <c r="A175" s="260">
        <v>14.14</v>
      </c>
      <c r="B175" s="97">
        <v>86931</v>
      </c>
      <c r="C175" s="97" t="s">
        <v>45</v>
      </c>
      <c r="D175" s="261" t="s">
        <v>250</v>
      </c>
      <c r="E175" s="257">
        <v>2</v>
      </c>
      <c r="F175" s="105"/>
      <c r="G175" s="105">
        <f t="shared" si="16"/>
        <v>0</v>
      </c>
      <c r="H175" s="277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5.5" customHeight="1">
      <c r="A176" s="102">
        <v>14.15</v>
      </c>
      <c r="B176" s="97" t="s">
        <v>237</v>
      </c>
      <c r="C176" s="97" t="s">
        <v>45</v>
      </c>
      <c r="D176" s="103" t="str">
        <f>'Composição de Custos '!D311</f>
        <v>READEQUAÇÃO DE CUBA - RETIRAR E REINSTALAR PARA AJUSTAR ALTURA CONFORME NBR 9050. ALTURA = 80CM</v>
      </c>
      <c r="E176" s="257">
        <v>2</v>
      </c>
      <c r="F176" s="105"/>
      <c r="G176" s="105">
        <f t="shared" si="16"/>
        <v>0</v>
      </c>
      <c r="H176" s="277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5.5" customHeight="1">
      <c r="A177" s="260">
        <v>14.16</v>
      </c>
      <c r="B177" s="97" t="s">
        <v>257</v>
      </c>
      <c r="C177" s="97" t="s">
        <v>45</v>
      </c>
      <c r="D177" s="103" t="str">
        <f>'Composição de Custos '!D158</f>
        <v>BARRA DE APOIO HORIZONTAL, EM AÇO INOX PARA P.N.E L = 80CM (VASO SANITÁRIO) CONFORME NBR 9050</v>
      </c>
      <c r="E177" s="257">
        <v>4</v>
      </c>
      <c r="F177" s="105"/>
      <c r="G177" s="105">
        <f t="shared" si="16"/>
        <v>0</v>
      </c>
      <c r="H177" s="277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5.5" customHeight="1">
      <c r="A178" s="102">
        <v>14.17</v>
      </c>
      <c r="B178" s="97" t="s">
        <v>228</v>
      </c>
      <c r="C178" s="97" t="s">
        <v>45</v>
      </c>
      <c r="D178" s="153" t="s">
        <v>229</v>
      </c>
      <c r="E178" s="257">
        <v>2</v>
      </c>
      <c r="F178" s="105"/>
      <c r="G178" s="105">
        <f t="shared" si="16"/>
        <v>0</v>
      </c>
      <c r="H178" s="277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5.5" customHeight="1">
      <c r="A179" s="260">
        <v>14.18</v>
      </c>
      <c r="B179" s="97" t="s">
        <v>231</v>
      </c>
      <c r="C179" s="97" t="s">
        <v>45</v>
      </c>
      <c r="D179" s="153" t="s">
        <v>232</v>
      </c>
      <c r="E179" s="257">
        <v>2</v>
      </c>
      <c r="F179" s="105"/>
      <c r="G179" s="105">
        <f t="shared" si="16"/>
        <v>0</v>
      </c>
      <c r="H179" s="277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5.5" customHeight="1">
      <c r="A180" s="102">
        <v>14.19</v>
      </c>
      <c r="B180" s="97" t="s">
        <v>234</v>
      </c>
      <c r="C180" s="97" t="s">
        <v>45</v>
      </c>
      <c r="D180" s="153" t="s">
        <v>235</v>
      </c>
      <c r="E180" s="257">
        <v>2</v>
      </c>
      <c r="F180" s="105"/>
      <c r="G180" s="105">
        <f t="shared" si="16"/>
        <v>0</v>
      </c>
      <c r="H180" s="277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6.25" customHeight="1">
      <c r="A181" s="260">
        <v>14.2</v>
      </c>
      <c r="B181" s="97" t="s">
        <v>271</v>
      </c>
      <c r="C181" s="97" t="s">
        <v>45</v>
      </c>
      <c r="D181" s="31" t="s">
        <v>253</v>
      </c>
      <c r="E181" s="257">
        <v>4</v>
      </c>
      <c r="F181" s="105"/>
      <c r="G181" s="105">
        <f t="shared" si="16"/>
        <v>0</v>
      </c>
      <c r="H181" s="277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2.75" customHeight="1">
      <c r="A182" s="102">
        <v>14.21</v>
      </c>
      <c r="B182" s="97" t="s">
        <v>262</v>
      </c>
      <c r="C182" s="97" t="s">
        <v>60</v>
      </c>
      <c r="D182" s="103" t="s">
        <v>263</v>
      </c>
      <c r="E182" s="257">
        <v>0.72</v>
      </c>
      <c r="F182" s="105"/>
      <c r="G182" s="105">
        <f t="shared" si="16"/>
        <v>0</v>
      </c>
      <c r="H182" s="277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5.5" customHeight="1">
      <c r="A183" s="260">
        <v>14.22</v>
      </c>
      <c r="B183" s="97" t="s">
        <v>202</v>
      </c>
      <c r="C183" s="97" t="s">
        <v>45</v>
      </c>
      <c r="D183" s="103" t="str">
        <f>'Composição de Custos '!D99</f>
        <v>TORNEIRA LAVATORIO PRESSMATIC,  VOLANTE TIPO ALAVANCA, PARA LAVATÓRIO DE P.N.E DOCOL OU SIMILAR</v>
      </c>
      <c r="E183" s="257">
        <v>2</v>
      </c>
      <c r="F183" s="105"/>
      <c r="G183" s="105">
        <f t="shared" si="16"/>
        <v>0</v>
      </c>
      <c r="H183" s="277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30" customHeight="1">
      <c r="A184" s="102">
        <v>14.23</v>
      </c>
      <c r="B184" s="133" t="str">
        <f>'Composição de Custos '!A273</f>
        <v>C021.7</v>
      </c>
      <c r="C184" s="133" t="s">
        <v>45</v>
      </c>
      <c r="D184" s="293" t="str">
        <f>'Composição de Custos '!D273</f>
        <v>PORTA DE ALUMINIO 100 CM TIPO VENEZIANA COM PUXADOR HORIZONTAL E TARJETA LIVRE/OCUPADO</v>
      </c>
      <c r="E184" s="135">
        <v>3</v>
      </c>
      <c r="F184" s="105"/>
      <c r="G184" s="136">
        <f t="shared" si="16"/>
        <v>0</v>
      </c>
      <c r="H184" s="277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2.75" customHeight="1">
      <c r="A185" s="260">
        <v>14.24</v>
      </c>
      <c r="B185" s="258" t="s">
        <v>236</v>
      </c>
      <c r="C185" s="291" t="s">
        <v>45</v>
      </c>
      <c r="D185" s="259" t="str">
        <f>'Composição de Custos '!D134</f>
        <v>INSTALAÇÃO DE CHUVEIRO ELETRICO, INCLUINDO MUDANÇA DE PONTO HIDRÁULICO</v>
      </c>
      <c r="E185" s="125">
        <v>1</v>
      </c>
      <c r="F185" s="105"/>
      <c r="G185" s="105">
        <f t="shared" si="16"/>
        <v>0</v>
      </c>
      <c r="H185" s="277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5.5" customHeight="1">
      <c r="A186" s="102">
        <v>14.25</v>
      </c>
      <c r="B186" s="97" t="s">
        <v>254</v>
      </c>
      <c r="C186" s="97" t="s">
        <v>45</v>
      </c>
      <c r="D186" s="103" t="str">
        <f>'Composição de Custos '!D150</f>
        <v xml:space="preserve">FORNECIMENTO E INSTALAÇÃO DE BANCO ARTICULADO EM AÇO INOX 70X45 CM, PARA BANHO PNE </v>
      </c>
      <c r="E186" s="125">
        <v>1</v>
      </c>
      <c r="F186" s="105"/>
      <c r="G186" s="105">
        <f t="shared" si="16"/>
        <v>0</v>
      </c>
      <c r="H186" s="277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2.75" customHeight="1">
      <c r="A187" s="260">
        <v>14.26</v>
      </c>
      <c r="B187" s="97" t="s">
        <v>233</v>
      </c>
      <c r="C187" s="97" t="s">
        <v>60</v>
      </c>
      <c r="D187" s="103" t="str">
        <f>'Composição de Custos '!D502</f>
        <v>RETIRADA DE CHAPA DE GRANITO DE BOX DE BANHEIRO COMO REAPROVEITAMENTO</v>
      </c>
      <c r="E187" s="125">
        <v>0.86</v>
      </c>
      <c r="F187" s="105"/>
      <c r="G187" s="105">
        <f t="shared" si="16"/>
        <v>0</v>
      </c>
      <c r="H187" s="277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2.75" customHeight="1">
      <c r="A188" s="102">
        <v>14.27</v>
      </c>
      <c r="B188" s="284" t="s">
        <v>316</v>
      </c>
      <c r="C188" s="97" t="s">
        <v>70</v>
      </c>
      <c r="D188" s="294" t="str">
        <f>'Composição de Custos '!D450</f>
        <v>FILETE DE GRANITO BOX CHUVEIRO  H=2CM</v>
      </c>
      <c r="E188" s="105">
        <v>1.65</v>
      </c>
      <c r="F188" s="105"/>
      <c r="G188" s="105">
        <f t="shared" si="16"/>
        <v>0</v>
      </c>
      <c r="H188" s="277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2.75" customHeight="1">
      <c r="A189" s="260">
        <v>14.28</v>
      </c>
      <c r="B189" s="97">
        <v>72897</v>
      </c>
      <c r="C189" s="211" t="s">
        <v>82</v>
      </c>
      <c r="D189" s="213" t="s">
        <v>83</v>
      </c>
      <c r="E189" s="216">
        <v>3</v>
      </c>
      <c r="F189" s="105"/>
      <c r="G189" s="105">
        <f t="shared" si="16"/>
        <v>0</v>
      </c>
      <c r="H189" s="277"/>
      <c r="I189" s="277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35.25" customHeight="1">
      <c r="A190" s="102">
        <v>14.29</v>
      </c>
      <c r="B190" s="236">
        <v>87246</v>
      </c>
      <c r="C190" s="236" t="s">
        <v>60</v>
      </c>
      <c r="D190" s="237" t="s">
        <v>319</v>
      </c>
      <c r="E190" s="297">
        <v>2.5</v>
      </c>
      <c r="F190" s="105"/>
      <c r="G190" s="238">
        <f t="shared" si="16"/>
        <v>0</v>
      </c>
      <c r="H190" s="277"/>
      <c r="I190" s="277"/>
      <c r="J190" s="79"/>
      <c r="K190" s="277"/>
      <c r="L190" s="277"/>
      <c r="M190" s="277"/>
      <c r="N190" s="277"/>
      <c r="O190" s="277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7.75" customHeight="1">
      <c r="A191" s="260">
        <v>14.3</v>
      </c>
      <c r="B191" s="132" t="s">
        <v>140</v>
      </c>
      <c r="C191" s="132" t="s">
        <v>45</v>
      </c>
      <c r="D191" s="137" t="s">
        <v>167</v>
      </c>
      <c r="E191" s="145">
        <v>1</v>
      </c>
      <c r="F191" s="105"/>
      <c r="G191" s="145">
        <f t="shared" si="16"/>
        <v>0</v>
      </c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2.75" customHeight="1">
      <c r="A192" s="102">
        <v>14.31</v>
      </c>
      <c r="B192" s="133">
        <f>B916</f>
        <v>99803</v>
      </c>
      <c r="C192" s="133" t="s">
        <v>60</v>
      </c>
      <c r="D192" s="134" t="str">
        <f>D159</f>
        <v xml:space="preserve">LIMPEZA DE PISO CERÂMICO OU PORCELANATO COM PANO ÚMIDO. AF_04/2019 </v>
      </c>
      <c r="E192" s="135">
        <v>25</v>
      </c>
      <c r="F192" s="105"/>
      <c r="G192" s="136">
        <f t="shared" si="16"/>
        <v>0</v>
      </c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>
      <c r="A193" s="114"/>
      <c r="B193" s="113"/>
      <c r="C193" s="114"/>
      <c r="D193" s="694" t="s">
        <v>84</v>
      </c>
      <c r="E193" s="682"/>
      <c r="F193" s="683"/>
      <c r="G193" s="101">
        <f>SUM(G162:G192)</f>
        <v>0</v>
      </c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7.25" customHeight="1">
      <c r="A194" s="301">
        <v>15</v>
      </c>
      <c r="B194" s="706" t="s">
        <v>322</v>
      </c>
      <c r="C194" s="707"/>
      <c r="D194" s="707"/>
      <c r="E194" s="707"/>
      <c r="F194" s="707"/>
      <c r="G194" s="708"/>
      <c r="H194" s="277"/>
      <c r="I194" s="277"/>
      <c r="J194" s="277"/>
      <c r="K194" s="277"/>
      <c r="L194" s="277"/>
      <c r="M194" s="277"/>
      <c r="N194" s="277">
        <f>P188+1127</f>
        <v>1127</v>
      </c>
      <c r="O194" s="277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5.5" customHeight="1">
      <c r="A195" s="102">
        <v>15.1</v>
      </c>
      <c r="B195" s="124">
        <v>97622</v>
      </c>
      <c r="C195" s="124" t="s">
        <v>82</v>
      </c>
      <c r="D195" s="279" t="s">
        <v>285</v>
      </c>
      <c r="E195" s="257">
        <f>(0.15*0.1*2.68)+(0.15*0.04*2.68)+(0.15*0.03*2.68)+(0.15*0.02*2.68)</f>
        <v>7.6380000000000003E-2</v>
      </c>
      <c r="F195" s="105"/>
      <c r="G195" s="105">
        <f t="shared" ref="G195:G222" si="17">F195*E195</f>
        <v>0</v>
      </c>
      <c r="H195" s="277"/>
      <c r="I195" s="277"/>
      <c r="J195" s="277"/>
      <c r="K195" s="277"/>
      <c r="L195" s="277"/>
      <c r="M195" s="277"/>
      <c r="N195" s="277"/>
      <c r="O195" s="277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7.75" customHeight="1">
      <c r="A196" s="102">
        <v>15.2</v>
      </c>
      <c r="B196" s="282" t="str">
        <f>'Composição de Custos '!A199</f>
        <v>C017</v>
      </c>
      <c r="C196" s="97" t="s">
        <v>45</v>
      </c>
      <c r="D196" s="283" t="str">
        <f>'Composição de Custos '!D199</f>
        <v xml:space="preserve">RETIRADA E ASSENTAMENTO DE SOLEIRA EM GRANITO VERDE UBATUBA, TABEIRA, DEGRAUS E SOLEIRAS, ASSENTADO COM ARGAMASSA AC-III CONFORME PROJETO </v>
      </c>
      <c r="E196" s="125">
        <v>1</v>
      </c>
      <c r="F196" s="105"/>
      <c r="G196" s="105">
        <f t="shared" si="17"/>
        <v>0</v>
      </c>
      <c r="H196" s="277"/>
      <c r="I196" s="277"/>
      <c r="J196" s="277"/>
      <c r="K196" s="277"/>
      <c r="L196" s="277"/>
      <c r="M196" s="277"/>
      <c r="N196" s="277"/>
      <c r="O196" s="277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7.75" customHeight="1">
      <c r="A197" s="102">
        <v>15.3</v>
      </c>
      <c r="B197" s="284" t="s">
        <v>292</v>
      </c>
      <c r="C197" s="97" t="s">
        <v>45</v>
      </c>
      <c r="D197" s="285" t="str">
        <f>'Composição de Custos '!D226</f>
        <v>PORTA DE MADEIRA 1 M PUXADOR HORIZONTAL FECHADURA DE EMBUTIR CONFORME A NBR 9050 E CHAPA DE PROTEÇÃO NA PARTE INFERIOR</v>
      </c>
      <c r="E197" s="125">
        <v>1</v>
      </c>
      <c r="F197" s="105"/>
      <c r="G197" s="105">
        <f t="shared" si="17"/>
        <v>0</v>
      </c>
      <c r="H197" s="277"/>
      <c r="I197" s="277"/>
      <c r="J197" s="310" t="e">
        <f>G167+G168+#REF!+G169+G223</f>
        <v>#REF!</v>
      </c>
      <c r="K197" s="277"/>
      <c r="L197" s="277"/>
      <c r="M197" s="277"/>
      <c r="N197" s="277"/>
      <c r="O197" s="277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6.25" customHeight="1">
      <c r="A198" s="102">
        <v>15.4</v>
      </c>
      <c r="B198" s="97">
        <v>87274</v>
      </c>
      <c r="C198" s="97" t="s">
        <v>60</v>
      </c>
      <c r="D198" s="103" t="s">
        <v>290</v>
      </c>
      <c r="E198" s="286">
        <v>0.6</v>
      </c>
      <c r="F198" s="105"/>
      <c r="G198" s="105">
        <f t="shared" si="17"/>
        <v>0</v>
      </c>
      <c r="H198" s="277"/>
      <c r="I198" s="277"/>
      <c r="J198" s="277"/>
      <c r="K198" s="277"/>
      <c r="L198" s="277"/>
      <c r="M198" s="277"/>
      <c r="N198" s="277"/>
      <c r="O198" s="277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6.25" customHeight="1">
      <c r="A199" s="102">
        <v>15.5</v>
      </c>
      <c r="B199" s="133" t="s">
        <v>230</v>
      </c>
      <c r="C199" s="97" t="s">
        <v>45</v>
      </c>
      <c r="D199" s="103" t="str">
        <f>'Composição de Custos '!D279</f>
        <v>PLACA DE SINALIZAÇÃO EM BRAILLE E AUTORELEVO 20 X 40 - ACRILICO COM SIMBOLO INTERNACIONAL DE ACESSO CONFORME PROJETO</v>
      </c>
      <c r="E199" s="105">
        <v>1</v>
      </c>
      <c r="F199" s="105"/>
      <c r="G199" s="105">
        <f t="shared" si="17"/>
        <v>0</v>
      </c>
      <c r="H199" s="277"/>
      <c r="I199" s="277"/>
      <c r="J199" s="277"/>
      <c r="K199" s="277"/>
      <c r="L199" s="277"/>
      <c r="M199" s="277"/>
      <c r="N199" s="277"/>
      <c r="O199" s="277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5.5" customHeight="1">
      <c r="A200" s="102">
        <v>15.6</v>
      </c>
      <c r="B200" s="290" t="s">
        <v>296</v>
      </c>
      <c r="C200" s="291" t="s">
        <v>45</v>
      </c>
      <c r="D200" s="292" t="str">
        <f>'Composição de Custos '!D291</f>
        <v>BANCO DE CONCRETO ACESSÍVEL  - FORNECIMENTO E INSTALAÇÃO COM ACABAMENTO EM PINTURA EPOXI CONFORME PROJETO ARQUITETONICO</v>
      </c>
      <c r="E200" s="190">
        <v>5.99</v>
      </c>
      <c r="F200" s="105"/>
      <c r="G200" s="105">
        <f t="shared" si="17"/>
        <v>0</v>
      </c>
      <c r="H200" s="277"/>
      <c r="I200" s="277"/>
      <c r="J200" s="277"/>
      <c r="K200" s="277"/>
      <c r="L200" s="277"/>
      <c r="M200" s="277"/>
      <c r="N200" s="277"/>
      <c r="O200" s="277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5.5" customHeight="1">
      <c r="A201" s="102">
        <v>15.7</v>
      </c>
      <c r="B201" s="97">
        <v>84665</v>
      </c>
      <c r="C201" s="97" t="s">
        <v>60</v>
      </c>
      <c r="D201" s="193" t="s">
        <v>298</v>
      </c>
      <c r="E201" s="190">
        <v>0.2</v>
      </c>
      <c r="F201" s="105"/>
      <c r="G201" s="105">
        <f t="shared" si="17"/>
        <v>0</v>
      </c>
      <c r="H201" s="277"/>
      <c r="I201" s="277"/>
      <c r="J201" s="277"/>
      <c r="K201" s="277"/>
      <c r="L201" s="277"/>
      <c r="M201" s="277"/>
      <c r="N201" s="277"/>
      <c r="O201" s="277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5.5" customHeight="1">
      <c r="A202" s="102">
        <v>15.8</v>
      </c>
      <c r="B202" s="97">
        <v>84665</v>
      </c>
      <c r="C202" s="97" t="s">
        <v>60</v>
      </c>
      <c r="D202" s="193" t="s">
        <v>299</v>
      </c>
      <c r="E202" s="190">
        <v>0.76</v>
      </c>
      <c r="F202" s="105"/>
      <c r="G202" s="105">
        <f t="shared" si="17"/>
        <v>0</v>
      </c>
      <c r="H202" s="277"/>
      <c r="I202" s="277"/>
      <c r="J202" s="277"/>
      <c r="K202" s="277"/>
      <c r="L202" s="277"/>
      <c r="M202" s="277"/>
      <c r="N202" s="277"/>
      <c r="O202" s="277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2.75" customHeight="1">
      <c r="A203" s="102">
        <v>15.9</v>
      </c>
      <c r="B203" s="97" t="s">
        <v>242</v>
      </c>
      <c r="C203" s="97" t="s">
        <v>45</v>
      </c>
      <c r="D203" s="103" t="str">
        <f>'Composição de Custos '!D174</f>
        <v>RETIRADA DE BARRAS DE APOIO DOS SANITÁRIOS</v>
      </c>
      <c r="E203" s="125">
        <v>7</v>
      </c>
      <c r="F203" s="105"/>
      <c r="G203" s="105">
        <f t="shared" si="17"/>
        <v>0</v>
      </c>
      <c r="H203" s="277"/>
      <c r="I203" s="277"/>
      <c r="J203" s="277"/>
      <c r="K203" s="277"/>
      <c r="L203" s="277"/>
      <c r="M203" s="277"/>
      <c r="N203" s="277"/>
      <c r="O203" s="277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2.75" customHeight="1">
      <c r="A204" s="260">
        <v>15.1</v>
      </c>
      <c r="B204" s="97" t="s">
        <v>246</v>
      </c>
      <c r="C204" s="97" t="s">
        <v>45</v>
      </c>
      <c r="D204" s="261" t="str">
        <f>'Composição de Custos '!D319</f>
        <v>READEQUAÇÃO DE PONTO HIDRAULICO PARA VASO SANITÁRIO</v>
      </c>
      <c r="E204" s="257">
        <v>2</v>
      </c>
      <c r="F204" s="105"/>
      <c r="G204" s="105">
        <f t="shared" si="17"/>
        <v>0</v>
      </c>
      <c r="H204" s="277"/>
      <c r="I204" s="277"/>
      <c r="J204" s="277"/>
      <c r="K204" s="277"/>
      <c r="L204" s="277"/>
      <c r="M204" s="277"/>
      <c r="N204" s="277"/>
      <c r="O204" s="277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38.25" customHeight="1">
      <c r="A205" s="102">
        <v>15.11</v>
      </c>
      <c r="B205" s="97">
        <v>86931</v>
      </c>
      <c r="C205" s="97" t="s">
        <v>45</v>
      </c>
      <c r="D205" s="261" t="s">
        <v>250</v>
      </c>
      <c r="E205" s="257">
        <v>2</v>
      </c>
      <c r="F205" s="105"/>
      <c r="G205" s="105">
        <f t="shared" si="17"/>
        <v>0</v>
      </c>
      <c r="H205" s="277"/>
      <c r="I205" s="277"/>
      <c r="J205" s="277"/>
      <c r="K205" s="277"/>
      <c r="L205" s="277"/>
      <c r="M205" s="277"/>
      <c r="N205" s="277"/>
      <c r="O205" s="277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5.5" customHeight="1">
      <c r="A206" s="260">
        <v>15.12</v>
      </c>
      <c r="B206" s="97" t="s">
        <v>237</v>
      </c>
      <c r="C206" s="97" t="s">
        <v>45</v>
      </c>
      <c r="D206" s="103" t="str">
        <f>'Composição de Custos '!D311</f>
        <v>READEQUAÇÃO DE CUBA - RETIRAR E REINSTALAR PARA AJUSTAR ALTURA CONFORME NBR 9050. ALTURA = 80CM</v>
      </c>
      <c r="E206" s="257">
        <v>2</v>
      </c>
      <c r="F206" s="105"/>
      <c r="G206" s="105">
        <f t="shared" si="17"/>
        <v>0</v>
      </c>
      <c r="H206" s="277"/>
      <c r="I206" s="277"/>
      <c r="J206" s="277"/>
      <c r="K206" s="277"/>
      <c r="L206" s="277"/>
      <c r="M206" s="277"/>
      <c r="N206" s="277"/>
      <c r="O206" s="277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5.5" customHeight="1">
      <c r="A207" s="102">
        <v>15.13</v>
      </c>
      <c r="B207" s="97" t="s">
        <v>257</v>
      </c>
      <c r="C207" s="97" t="s">
        <v>45</v>
      </c>
      <c r="D207" s="103" t="str">
        <f>'Composição de Custos '!D158</f>
        <v>BARRA DE APOIO HORIZONTAL, EM AÇO INOX PARA P.N.E L = 80CM (VASO SANITÁRIO) CONFORME NBR 9050</v>
      </c>
      <c r="E207" s="257">
        <v>4</v>
      </c>
      <c r="F207" s="105"/>
      <c r="G207" s="105">
        <f t="shared" si="17"/>
        <v>0</v>
      </c>
      <c r="H207" s="277"/>
      <c r="I207" s="277"/>
      <c r="J207" s="277"/>
      <c r="K207" s="277"/>
      <c r="L207" s="277"/>
      <c r="M207" s="277"/>
      <c r="N207" s="277"/>
      <c r="O207" s="277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5.5" customHeight="1">
      <c r="A208" s="260">
        <v>15.14</v>
      </c>
      <c r="B208" s="97" t="s">
        <v>184</v>
      </c>
      <c r="C208" s="97" t="s">
        <v>45</v>
      </c>
      <c r="D208" s="103" t="str">
        <f>'Composição de Custos '!D72</f>
        <v xml:space="preserve">BARRA DE APOIO EM TUBO DE AÇO INOXIDÁVEL OU ALUMÍNIO, COM 70 CM, DIAM. 30 À 45 MM, FIXAÇÃO VERTICAL OU HORIZONTAL  </v>
      </c>
      <c r="E208" s="257">
        <v>4</v>
      </c>
      <c r="F208" s="105"/>
      <c r="G208" s="105">
        <f t="shared" si="17"/>
        <v>0</v>
      </c>
      <c r="H208" s="277"/>
      <c r="I208" s="277"/>
      <c r="J208" s="277"/>
      <c r="K208" s="277"/>
      <c r="L208" s="277"/>
      <c r="M208" s="277"/>
      <c r="N208" s="277"/>
      <c r="O208" s="277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2.75" customHeight="1">
      <c r="A209" s="102">
        <v>15.15</v>
      </c>
      <c r="B209" s="97" t="s">
        <v>228</v>
      </c>
      <c r="C209" s="97" t="s">
        <v>45</v>
      </c>
      <c r="D209" s="153" t="s">
        <v>229</v>
      </c>
      <c r="E209" s="257">
        <v>2</v>
      </c>
      <c r="F209" s="105"/>
      <c r="G209" s="105">
        <f t="shared" si="17"/>
        <v>0</v>
      </c>
      <c r="H209" s="277"/>
      <c r="I209" s="277"/>
      <c r="J209" s="277"/>
      <c r="K209" s="277"/>
      <c r="L209" s="277"/>
      <c r="M209" s="277"/>
      <c r="N209" s="277"/>
      <c r="O209" s="277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30.75" customHeight="1">
      <c r="A210" s="260">
        <v>15.16</v>
      </c>
      <c r="B210" s="97" t="s">
        <v>231</v>
      </c>
      <c r="C210" s="97" t="s">
        <v>45</v>
      </c>
      <c r="D210" s="153" t="s">
        <v>232</v>
      </c>
      <c r="E210" s="257">
        <v>2</v>
      </c>
      <c r="F210" s="105"/>
      <c r="G210" s="105">
        <f t="shared" si="17"/>
        <v>0</v>
      </c>
      <c r="H210" s="277"/>
      <c r="I210" s="277"/>
      <c r="J210" s="277"/>
      <c r="K210" s="277"/>
      <c r="L210" s="277"/>
      <c r="M210" s="277"/>
      <c r="N210" s="277"/>
      <c r="O210" s="277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5.5" customHeight="1">
      <c r="A211" s="102">
        <v>15.17</v>
      </c>
      <c r="B211" s="97" t="s">
        <v>234</v>
      </c>
      <c r="C211" s="97" t="s">
        <v>45</v>
      </c>
      <c r="D211" s="153" t="s">
        <v>235</v>
      </c>
      <c r="E211" s="257">
        <v>2</v>
      </c>
      <c r="F211" s="105"/>
      <c r="G211" s="105">
        <f t="shared" si="17"/>
        <v>0</v>
      </c>
      <c r="H211" s="277"/>
      <c r="I211" s="277"/>
      <c r="J211" s="277"/>
      <c r="K211" s="277"/>
      <c r="L211" s="277"/>
      <c r="M211" s="277"/>
      <c r="N211" s="277"/>
      <c r="O211" s="277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2.75" customHeight="1">
      <c r="A212" s="260">
        <v>15.18</v>
      </c>
      <c r="B212" s="97" t="s">
        <v>262</v>
      </c>
      <c r="C212" s="97" t="s">
        <v>60</v>
      </c>
      <c r="D212" s="103" t="s">
        <v>263</v>
      </c>
      <c r="E212" s="257">
        <v>0.72</v>
      </c>
      <c r="F212" s="105"/>
      <c r="G212" s="105">
        <f t="shared" si="17"/>
        <v>0</v>
      </c>
      <c r="H212" s="277"/>
      <c r="I212" s="277"/>
      <c r="J212" s="277"/>
      <c r="K212" s="277"/>
      <c r="L212" s="277"/>
      <c r="M212" s="277"/>
      <c r="N212" s="277"/>
      <c r="O212" s="277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5.5" customHeight="1">
      <c r="A213" s="102">
        <v>15.19</v>
      </c>
      <c r="B213" s="97" t="s">
        <v>202</v>
      </c>
      <c r="C213" s="97" t="s">
        <v>45</v>
      </c>
      <c r="D213" s="103" t="str">
        <f>'Composição de Custos '!D99</f>
        <v>TORNEIRA LAVATORIO PRESSMATIC,  VOLANTE TIPO ALAVANCA, PARA LAVATÓRIO DE P.N.E DOCOL OU SIMILAR</v>
      </c>
      <c r="E213" s="257">
        <v>2</v>
      </c>
      <c r="F213" s="105"/>
      <c r="G213" s="105">
        <f t="shared" si="17"/>
        <v>0</v>
      </c>
      <c r="H213" s="277"/>
      <c r="I213" s="277"/>
      <c r="J213" s="277"/>
      <c r="K213" s="277"/>
      <c r="L213" s="277"/>
      <c r="M213" s="277"/>
      <c r="N213" s="277"/>
      <c r="O213" s="277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30" customHeight="1">
      <c r="A214" s="260">
        <v>15.2</v>
      </c>
      <c r="B214" s="144" t="str">
        <f>'Composição de Custos '!A273</f>
        <v>C021.7</v>
      </c>
      <c r="C214" s="97" t="s">
        <v>45</v>
      </c>
      <c r="D214" s="293" t="str">
        <f>'Composição de Custos '!D273</f>
        <v>PORTA DE ALUMINIO 100 CM TIPO VENEZIANA COM PUXADOR HORIZONTAL E TARJETA LIVRE/OCUPADO</v>
      </c>
      <c r="E214" s="125">
        <v>3</v>
      </c>
      <c r="F214" s="105"/>
      <c r="G214" s="105">
        <f t="shared" si="17"/>
        <v>0</v>
      </c>
      <c r="H214" s="277"/>
      <c r="I214" s="277"/>
      <c r="J214" s="277"/>
      <c r="K214" s="277"/>
      <c r="L214" s="277"/>
      <c r="M214" s="277"/>
      <c r="N214" s="277"/>
      <c r="O214" s="277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7.25" customHeight="1">
      <c r="A215" s="102">
        <v>15.21</v>
      </c>
      <c r="B215" s="258" t="s">
        <v>316</v>
      </c>
      <c r="C215" s="291" t="s">
        <v>70</v>
      </c>
      <c r="D215" s="315" t="s">
        <v>336</v>
      </c>
      <c r="E215" s="105">
        <v>1.66</v>
      </c>
      <c r="F215" s="105"/>
      <c r="G215" s="105">
        <f t="shared" si="17"/>
        <v>0</v>
      </c>
      <c r="H215" s="277"/>
      <c r="I215" s="277"/>
      <c r="J215" s="277"/>
      <c r="K215" s="277"/>
      <c r="L215" s="277"/>
      <c r="M215" s="277"/>
      <c r="N215" s="277"/>
      <c r="O215" s="277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2.75" customHeight="1">
      <c r="A216" s="260">
        <v>15.22</v>
      </c>
      <c r="B216" s="258" t="s">
        <v>236</v>
      </c>
      <c r="C216" s="291" t="s">
        <v>45</v>
      </c>
      <c r="D216" s="259" t="str">
        <f>'Composição de Custos '!D134</f>
        <v>INSTALAÇÃO DE CHUVEIRO ELETRICO, INCLUINDO MUDANÇA DE PONTO HIDRÁULICO</v>
      </c>
      <c r="E216" s="125">
        <v>1</v>
      </c>
      <c r="F216" s="105"/>
      <c r="G216" s="105">
        <f t="shared" si="17"/>
        <v>0</v>
      </c>
      <c r="H216" s="277"/>
      <c r="I216" s="277"/>
      <c r="J216" s="277"/>
      <c r="K216" s="277"/>
      <c r="L216" s="277"/>
      <c r="M216" s="277"/>
      <c r="N216" s="277"/>
      <c r="O216" s="277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5.5" customHeight="1">
      <c r="A217" s="102">
        <v>15.23</v>
      </c>
      <c r="B217" s="97" t="s">
        <v>254</v>
      </c>
      <c r="C217" s="97" t="s">
        <v>45</v>
      </c>
      <c r="D217" s="103" t="str">
        <f>'Composição de Custos '!D150</f>
        <v xml:space="preserve">FORNECIMENTO E INSTALAÇÃO DE BANCO ARTICULADO EM AÇO INOX 70X45 CM, PARA BANHO PNE </v>
      </c>
      <c r="E217" s="125">
        <v>1</v>
      </c>
      <c r="F217" s="105"/>
      <c r="G217" s="105">
        <f t="shared" si="17"/>
        <v>0</v>
      </c>
      <c r="H217" s="277"/>
      <c r="I217" s="277"/>
      <c r="J217" s="277"/>
      <c r="K217" s="277"/>
      <c r="L217" s="277"/>
      <c r="M217" s="277"/>
      <c r="N217" s="277"/>
      <c r="O217" s="277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2.75" customHeight="1">
      <c r="A218" s="260">
        <v>15.24</v>
      </c>
      <c r="B218" s="97" t="s">
        <v>233</v>
      </c>
      <c r="C218" s="97" t="s">
        <v>60</v>
      </c>
      <c r="D218" s="103" t="str">
        <f>'Composição de Custos '!D502</f>
        <v>RETIRADA DE CHAPA DE GRANITO DE BOX DE BANHEIRO COMO REAPROVEITAMENTO</v>
      </c>
      <c r="E218" s="125">
        <v>0.64</v>
      </c>
      <c r="F218" s="105"/>
      <c r="G218" s="105">
        <f t="shared" si="17"/>
        <v>0</v>
      </c>
      <c r="H218" s="277"/>
      <c r="I218" s="277"/>
      <c r="J218" s="277"/>
      <c r="K218" s="277"/>
      <c r="L218" s="277"/>
      <c r="M218" s="277"/>
      <c r="N218" s="277"/>
      <c r="O218" s="277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2.75" customHeight="1">
      <c r="A219" s="102">
        <v>15.25</v>
      </c>
      <c r="B219" s="97">
        <v>72897</v>
      </c>
      <c r="C219" s="211" t="s">
        <v>82</v>
      </c>
      <c r="D219" s="213" t="s">
        <v>83</v>
      </c>
      <c r="E219" s="216">
        <v>3</v>
      </c>
      <c r="F219" s="105"/>
      <c r="G219" s="105">
        <f t="shared" si="17"/>
        <v>0</v>
      </c>
      <c r="H219" s="277"/>
      <c r="I219" s="277"/>
      <c r="J219" s="277"/>
      <c r="K219" s="277"/>
      <c r="L219" s="277"/>
      <c r="M219" s="277"/>
      <c r="N219" s="277"/>
      <c r="O219" s="277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2.75" customHeight="1">
      <c r="A220" s="260">
        <v>15.26</v>
      </c>
      <c r="B220" s="133">
        <v>87246</v>
      </c>
      <c r="C220" s="324" t="s">
        <v>60</v>
      </c>
      <c r="D220" s="325" t="s">
        <v>319</v>
      </c>
      <c r="E220" s="326">
        <v>2.5</v>
      </c>
      <c r="F220" s="105"/>
      <c r="G220" s="136">
        <f t="shared" si="17"/>
        <v>0</v>
      </c>
      <c r="H220" s="277"/>
      <c r="I220" s="277"/>
      <c r="J220" s="277"/>
      <c r="K220" s="277"/>
      <c r="L220" s="277"/>
      <c r="M220" s="277"/>
      <c r="N220" s="277"/>
      <c r="O220" s="277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2.75" customHeight="1">
      <c r="A221" s="102">
        <v>15.27</v>
      </c>
      <c r="B221" s="133" t="s">
        <v>140</v>
      </c>
      <c r="C221" s="324" t="s">
        <v>45</v>
      </c>
      <c r="D221" s="325" t="s">
        <v>167</v>
      </c>
      <c r="E221" s="326">
        <v>1</v>
      </c>
      <c r="F221" s="105"/>
      <c r="G221" s="136">
        <f t="shared" si="17"/>
        <v>0</v>
      </c>
      <c r="H221" s="277"/>
      <c r="I221" s="277"/>
      <c r="J221" s="277"/>
      <c r="K221" s="277"/>
      <c r="L221" s="277"/>
      <c r="M221" s="277"/>
      <c r="N221" s="277"/>
      <c r="O221" s="277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2.75" customHeight="1">
      <c r="A222" s="260">
        <v>15.28</v>
      </c>
      <c r="B222" s="133">
        <f>B192</f>
        <v>99803</v>
      </c>
      <c r="C222" s="133" t="s">
        <v>82</v>
      </c>
      <c r="D222" s="134" t="str">
        <f>D192</f>
        <v xml:space="preserve">LIMPEZA DE PISO CERÂMICO OU PORCELANATO COM PANO ÚMIDO. AF_04/2019 </v>
      </c>
      <c r="E222" s="135">
        <v>25</v>
      </c>
      <c r="F222" s="105"/>
      <c r="G222" s="136">
        <f t="shared" si="17"/>
        <v>0</v>
      </c>
      <c r="H222" s="277"/>
      <c r="I222" s="277"/>
      <c r="J222" s="277"/>
      <c r="K222" s="277"/>
      <c r="L222" s="277"/>
      <c r="M222" s="277"/>
      <c r="N222" s="277"/>
      <c r="O222" s="277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2.75" customHeight="1">
      <c r="A223" s="264"/>
      <c r="B223" s="185"/>
      <c r="C223" s="265"/>
      <c r="D223" s="709" t="s">
        <v>84</v>
      </c>
      <c r="E223" s="703"/>
      <c r="F223" s="704"/>
      <c r="G223" s="266">
        <f>SUM(G195:G222)</f>
        <v>0</v>
      </c>
      <c r="H223" s="277"/>
      <c r="I223" s="277"/>
      <c r="J223" s="277"/>
      <c r="K223" s="277"/>
      <c r="L223" s="277"/>
      <c r="M223" s="277"/>
      <c r="N223" s="277"/>
      <c r="O223" s="277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25" customHeight="1">
      <c r="A224" s="95">
        <v>16</v>
      </c>
      <c r="B224" s="696" t="s">
        <v>345</v>
      </c>
      <c r="C224" s="682"/>
      <c r="D224" s="682"/>
      <c r="E224" s="682"/>
      <c r="F224" s="682"/>
      <c r="G224" s="683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5.5" customHeight="1">
      <c r="A225" s="333">
        <v>16.100000000000001</v>
      </c>
      <c r="B225" s="97">
        <v>97622</v>
      </c>
      <c r="C225" s="124" t="s">
        <v>82</v>
      </c>
      <c r="D225" s="103" t="s">
        <v>347</v>
      </c>
      <c r="E225" s="129">
        <f>1.1*((33.8+2.29)*0.15)</f>
        <v>5.9548499999999995</v>
      </c>
      <c r="F225" s="105"/>
      <c r="G225" s="105">
        <f t="shared" ref="G225:G238" si="18">F225*E225</f>
        <v>0</v>
      </c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51" customHeight="1">
      <c r="A226" s="333">
        <v>16.2</v>
      </c>
      <c r="B226" s="124">
        <v>87473</v>
      </c>
      <c r="C226" s="124" t="s">
        <v>60</v>
      </c>
      <c r="D226" s="103" t="s">
        <v>349</v>
      </c>
      <c r="E226" s="129">
        <f>36*0.3</f>
        <v>10.799999999999999</v>
      </c>
      <c r="F226" s="105"/>
      <c r="G226" s="105">
        <f t="shared" si="18"/>
        <v>0</v>
      </c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42" customHeight="1">
      <c r="A227" s="333">
        <v>16.3</v>
      </c>
      <c r="B227" s="97">
        <v>94995</v>
      </c>
      <c r="C227" s="97" t="s">
        <v>60</v>
      </c>
      <c r="D227" s="103" t="s">
        <v>81</v>
      </c>
      <c r="E227" s="129">
        <v>9.94</v>
      </c>
      <c r="F227" s="105"/>
      <c r="G227" s="105">
        <f t="shared" si="18"/>
        <v>0</v>
      </c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8" customHeight="1">
      <c r="A228" s="333">
        <v>16.399999999999999</v>
      </c>
      <c r="B228" s="124" t="s">
        <v>118</v>
      </c>
      <c r="C228" s="124" t="s">
        <v>60</v>
      </c>
      <c r="D228" s="261" t="s">
        <v>351</v>
      </c>
      <c r="E228" s="129">
        <v>289.64</v>
      </c>
      <c r="F228" s="105"/>
      <c r="G228" s="129">
        <f t="shared" si="18"/>
        <v>0</v>
      </c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5.5" customHeight="1">
      <c r="A229" s="333">
        <v>16.5</v>
      </c>
      <c r="B229" s="97" t="s">
        <v>141</v>
      </c>
      <c r="C229" s="124" t="s">
        <v>45</v>
      </c>
      <c r="D229" s="103" t="str">
        <f>'Composição de Custos '!D33</f>
        <v>INSTALAÇÃO DE FAIXA DE SINALIZAÇÃO VISUAL FOTOLUMINESCENTE DE DEGRAUS COMP. 7 CM X LARG. 3.5CM.</v>
      </c>
      <c r="E229" s="129">
        <f>26*2</f>
        <v>52</v>
      </c>
      <c r="F229" s="105"/>
      <c r="G229" s="105">
        <f t="shared" si="18"/>
        <v>0</v>
      </c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41.25" customHeight="1">
      <c r="A230" s="333">
        <v>16.600000000000001</v>
      </c>
      <c r="B230" s="341" t="str">
        <f>'Composição de Custos '!A937</f>
        <v>C086</v>
      </c>
      <c r="C230" s="97" t="s">
        <v>70</v>
      </c>
      <c r="D230" s="122" t="str">
        <f>'Composição de Custos '!D937</f>
        <v>GUARDA-CORPO DE AÇO GALVANIZADO DE 1,10M, TRAVESSA SUPERIOR E INFERIOR DE 1.1/2", GRADIL FORMADO POR TUBOS  VERTICAIS DE 1", FIXADO COM ESPAÇAMENTO A CADA 10CM.</v>
      </c>
      <c r="E230" s="123">
        <f>(4.35*2)*1.15</f>
        <v>10.004999999999999</v>
      </c>
      <c r="F230" s="105"/>
      <c r="G230" s="105">
        <f t="shared" si="18"/>
        <v>0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38.25" customHeight="1">
      <c r="A231" s="333">
        <v>16.7</v>
      </c>
      <c r="B231" s="97" t="s">
        <v>105</v>
      </c>
      <c r="C231" s="124" t="s">
        <v>70</v>
      </c>
      <c r="D231" s="103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231" s="129">
        <v>8.3000000000000007</v>
      </c>
      <c r="F231" s="105"/>
      <c r="G231" s="105">
        <f t="shared" si="18"/>
        <v>0</v>
      </c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30.75" customHeight="1">
      <c r="A232" s="333">
        <v>16.8</v>
      </c>
      <c r="B232" s="124">
        <v>97629</v>
      </c>
      <c r="C232" s="124" t="s">
        <v>82</v>
      </c>
      <c r="D232" s="342" t="s">
        <v>355</v>
      </c>
      <c r="E232" s="129">
        <v>0.99</v>
      </c>
      <c r="F232" s="105"/>
      <c r="G232" s="105">
        <f t="shared" si="18"/>
        <v>0</v>
      </c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5.5" customHeight="1">
      <c r="A233" s="333">
        <v>16.899999999999999</v>
      </c>
      <c r="B233" s="124">
        <v>95935</v>
      </c>
      <c r="C233" s="124" t="s">
        <v>60</v>
      </c>
      <c r="D233" s="343" t="s">
        <v>355</v>
      </c>
      <c r="E233" s="129">
        <v>7.07</v>
      </c>
      <c r="F233" s="105"/>
      <c r="G233" s="105">
        <f t="shared" si="18"/>
        <v>0</v>
      </c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5.5" customHeight="1">
      <c r="A234" s="344">
        <v>16.100000000000001</v>
      </c>
      <c r="B234" s="97">
        <v>84665</v>
      </c>
      <c r="C234" s="124" t="s">
        <v>60</v>
      </c>
      <c r="D234" s="103" t="s">
        <v>357</v>
      </c>
      <c r="E234" s="129">
        <f>0.6+0.96+0.2+0.5</f>
        <v>2.2599999999999998</v>
      </c>
      <c r="F234" s="105"/>
      <c r="G234" s="105">
        <f t="shared" si="18"/>
        <v>0</v>
      </c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5.5" customHeight="1">
      <c r="A235" s="333">
        <v>16.11</v>
      </c>
      <c r="B235" s="97">
        <v>84665</v>
      </c>
      <c r="C235" s="97" t="s">
        <v>60</v>
      </c>
      <c r="D235" s="193" t="s">
        <v>298</v>
      </c>
      <c r="E235" s="190">
        <v>0.6</v>
      </c>
      <c r="F235" s="105"/>
      <c r="G235" s="105">
        <f t="shared" si="18"/>
        <v>0</v>
      </c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5.5" customHeight="1">
      <c r="A236" s="344">
        <v>16.12</v>
      </c>
      <c r="B236" s="97">
        <v>84665</v>
      </c>
      <c r="C236" s="97" t="s">
        <v>60</v>
      </c>
      <c r="D236" s="193" t="s">
        <v>299</v>
      </c>
      <c r="E236" s="190">
        <v>2.2799999999999998</v>
      </c>
      <c r="F236" s="105"/>
      <c r="G236" s="105">
        <f t="shared" si="18"/>
        <v>0</v>
      </c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30.75" customHeight="1">
      <c r="A237" s="333">
        <v>16.13</v>
      </c>
      <c r="B237" s="97">
        <v>84665</v>
      </c>
      <c r="C237" s="124" t="s">
        <v>60</v>
      </c>
      <c r="D237" s="103" t="s">
        <v>361</v>
      </c>
      <c r="E237" s="129">
        <v>1.2</v>
      </c>
      <c r="F237" s="105"/>
      <c r="G237" s="105">
        <f t="shared" si="18"/>
        <v>0</v>
      </c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2.75" customHeight="1">
      <c r="A238" s="344">
        <v>16.14</v>
      </c>
      <c r="B238" s="97">
        <v>72897</v>
      </c>
      <c r="C238" s="211" t="s">
        <v>82</v>
      </c>
      <c r="D238" s="213" t="s">
        <v>83</v>
      </c>
      <c r="E238" s="216">
        <v>4</v>
      </c>
      <c r="F238" s="105"/>
      <c r="G238" s="105">
        <f t="shared" si="18"/>
        <v>0</v>
      </c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39.75" customHeight="1">
      <c r="A239" s="333">
        <v>16.149999999999999</v>
      </c>
      <c r="B239" s="133">
        <v>90883</v>
      </c>
      <c r="C239" s="324" t="s">
        <v>70</v>
      </c>
      <c r="D239" s="325" t="s">
        <v>364</v>
      </c>
      <c r="E239" s="345">
        <v>20</v>
      </c>
      <c r="F239" s="345"/>
      <c r="G239" s="136">
        <f>F239*E239</f>
        <v>0</v>
      </c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39.75" customHeight="1">
      <c r="A240" s="344">
        <v>16.16</v>
      </c>
      <c r="B240" s="133" t="s">
        <v>365</v>
      </c>
      <c r="C240" s="324" t="s">
        <v>121</v>
      </c>
      <c r="D240" s="325" t="s">
        <v>366</v>
      </c>
      <c r="E240" s="345">
        <v>42.2</v>
      </c>
      <c r="F240" s="345"/>
      <c r="G240" s="136">
        <f t="shared" ref="G240:G244" si="19">F240*E240</f>
        <v>0</v>
      </c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33.75" customHeight="1">
      <c r="A241" s="333">
        <v>16.170000000000002</v>
      </c>
      <c r="B241" s="133" t="s">
        <v>367</v>
      </c>
      <c r="C241" s="324" t="s">
        <v>82</v>
      </c>
      <c r="D241" s="325" t="s">
        <v>368</v>
      </c>
      <c r="E241" s="345">
        <v>0.55000000000000004</v>
      </c>
      <c r="F241" s="345"/>
      <c r="G241" s="136">
        <f t="shared" si="19"/>
        <v>0</v>
      </c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33.75" customHeight="1">
      <c r="A242" s="344">
        <v>16.18</v>
      </c>
      <c r="B242" s="133" t="s">
        <v>371</v>
      </c>
      <c r="C242" s="324" t="s">
        <v>82</v>
      </c>
      <c r="D242" s="325" t="s">
        <v>372</v>
      </c>
      <c r="E242" s="345">
        <v>0.55000000000000004</v>
      </c>
      <c r="F242" s="345"/>
      <c r="G242" s="136">
        <f t="shared" si="19"/>
        <v>0</v>
      </c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39.75" customHeight="1">
      <c r="A243" s="333">
        <v>16.190000000000001</v>
      </c>
      <c r="B243" s="133">
        <v>96543</v>
      </c>
      <c r="C243" s="324" t="s">
        <v>121</v>
      </c>
      <c r="D243" s="325" t="s">
        <v>373</v>
      </c>
      <c r="E243" s="345">
        <v>14.7</v>
      </c>
      <c r="F243" s="345"/>
      <c r="G243" s="136">
        <f t="shared" si="19"/>
        <v>0</v>
      </c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39.75" customHeight="1">
      <c r="A244" s="346">
        <v>16.2</v>
      </c>
      <c r="B244" s="133">
        <v>96536</v>
      </c>
      <c r="C244" s="324" t="s">
        <v>60</v>
      </c>
      <c r="D244" s="325" t="s">
        <v>376</v>
      </c>
      <c r="E244" s="345">
        <v>8.2200000000000006</v>
      </c>
      <c r="F244" s="345"/>
      <c r="G244" s="136">
        <f t="shared" si="19"/>
        <v>0</v>
      </c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39.75" customHeight="1">
      <c r="A245" s="347">
        <v>16.21</v>
      </c>
      <c r="B245" s="133" t="s">
        <v>378</v>
      </c>
      <c r="C245" s="324" t="s">
        <v>45</v>
      </c>
      <c r="D245" s="325" t="s">
        <v>379</v>
      </c>
      <c r="E245" s="345">
        <v>26</v>
      </c>
      <c r="F245" s="345"/>
      <c r="G245" s="136">
        <f t="shared" ref="G245:G249" si="20">F245*E245</f>
        <v>0</v>
      </c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7" customHeight="1">
      <c r="A246" s="346">
        <v>16.22</v>
      </c>
      <c r="B246" s="133" t="s">
        <v>382</v>
      </c>
      <c r="C246" s="324" t="s">
        <v>60</v>
      </c>
      <c r="D246" s="325" t="s">
        <v>383</v>
      </c>
      <c r="E246" s="345">
        <f>33.8+2.3</f>
        <v>36.099999999999994</v>
      </c>
      <c r="F246" s="345"/>
      <c r="G246" s="136">
        <f t="shared" si="20"/>
        <v>0</v>
      </c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347">
        <v>16.23</v>
      </c>
      <c r="B247" s="133" t="s">
        <v>385</v>
      </c>
      <c r="C247" s="324" t="s">
        <v>70</v>
      </c>
      <c r="D247" s="325" t="s">
        <v>148</v>
      </c>
      <c r="E247" s="345">
        <f>2*40.71</f>
        <v>81.42</v>
      </c>
      <c r="F247" s="345"/>
      <c r="G247" s="136">
        <f t="shared" si="20"/>
        <v>0</v>
      </c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2.75" customHeight="1">
      <c r="A248" s="346">
        <v>16.239999999999998</v>
      </c>
      <c r="B248" s="133" t="str">
        <f>'Composição de Custos '!A44</f>
        <v>C004</v>
      </c>
      <c r="C248" s="133" t="s">
        <v>60</v>
      </c>
      <c r="D248" s="134" t="str">
        <f>'Composição de Custos '!D44</f>
        <v>PISO TÁTIL DIRECIONAL OU ALERTA EMBORRACHADO COLORIDO (250X250) MM, ESP. 5 MM (ÁREA INTERNA)</v>
      </c>
      <c r="E248" s="136">
        <v>1.25</v>
      </c>
      <c r="F248" s="136"/>
      <c r="G248" s="136">
        <f t="shared" si="20"/>
        <v>0</v>
      </c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2.75" customHeight="1">
      <c r="A249" s="347">
        <v>16.25</v>
      </c>
      <c r="B249" s="133">
        <v>99814</v>
      </c>
      <c r="C249" s="133" t="s">
        <v>60</v>
      </c>
      <c r="D249" s="132" t="s">
        <v>104</v>
      </c>
      <c r="E249" s="135">
        <v>150</v>
      </c>
      <c r="F249" s="135"/>
      <c r="G249" s="136">
        <f t="shared" si="20"/>
        <v>0</v>
      </c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" customHeight="1">
      <c r="A250" s="349"/>
      <c r="B250" s="185"/>
      <c r="C250" s="265"/>
      <c r="D250" s="709" t="s">
        <v>84</v>
      </c>
      <c r="E250" s="703"/>
      <c r="F250" s="704"/>
      <c r="G250" s="350">
        <f>SUM(G225:G249)</f>
        <v>0</v>
      </c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2.75" customHeight="1">
      <c r="A251" s="95">
        <v>17</v>
      </c>
      <c r="B251" s="696" t="s">
        <v>388</v>
      </c>
      <c r="C251" s="682"/>
      <c r="D251" s="682"/>
      <c r="E251" s="682"/>
      <c r="F251" s="682"/>
      <c r="G251" s="683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5.5" customHeight="1">
      <c r="A252" s="137">
        <v>17.100000000000001</v>
      </c>
      <c r="B252" s="124">
        <v>97629</v>
      </c>
      <c r="C252" s="124" t="s">
        <v>60</v>
      </c>
      <c r="D252" s="343" t="s">
        <v>355</v>
      </c>
      <c r="E252" s="129">
        <v>0.68</v>
      </c>
      <c r="F252" s="105"/>
      <c r="G252" s="105">
        <f t="shared" ref="G252:G259" si="21">F252*E252</f>
        <v>0</v>
      </c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5.5" customHeight="1">
      <c r="A253" s="122">
        <v>17.2</v>
      </c>
      <c r="B253" s="97">
        <v>11795</v>
      </c>
      <c r="C253" s="97" t="s">
        <v>60</v>
      </c>
      <c r="D253" s="122" t="s">
        <v>389</v>
      </c>
      <c r="E253" s="105">
        <f>1.75</f>
        <v>1.75</v>
      </c>
      <c r="F253" s="105"/>
      <c r="G253" s="105">
        <f t="shared" si="21"/>
        <v>0</v>
      </c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2.75" customHeight="1">
      <c r="A254" s="122">
        <v>17.3</v>
      </c>
      <c r="B254" s="351" t="s">
        <v>392</v>
      </c>
      <c r="C254" s="124" t="s">
        <v>60</v>
      </c>
      <c r="D254" s="128" t="s">
        <v>393</v>
      </c>
      <c r="E254" s="129">
        <v>3.17</v>
      </c>
      <c r="F254" s="105"/>
      <c r="G254" s="105">
        <f t="shared" si="21"/>
        <v>0</v>
      </c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2.75" customHeight="1">
      <c r="A255" s="122">
        <v>17.399999999999999</v>
      </c>
      <c r="B255" s="138">
        <v>86957</v>
      </c>
      <c r="C255" s="138" t="s">
        <v>45</v>
      </c>
      <c r="D255" s="132" t="s">
        <v>394</v>
      </c>
      <c r="E255" s="136">
        <v>2</v>
      </c>
      <c r="F255" s="105"/>
      <c r="G255" s="136">
        <f t="shared" si="21"/>
        <v>0</v>
      </c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2.75" customHeight="1">
      <c r="A256" s="122">
        <v>17.5</v>
      </c>
      <c r="B256" s="351" t="s">
        <v>147</v>
      </c>
      <c r="C256" s="124" t="s">
        <v>60</v>
      </c>
      <c r="D256" s="128" t="s">
        <v>148</v>
      </c>
      <c r="E256" s="129">
        <v>11</v>
      </c>
      <c r="F256" s="105"/>
      <c r="G256" s="105">
        <f t="shared" si="21"/>
        <v>0</v>
      </c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2.75" customHeight="1">
      <c r="A257" s="122">
        <v>17.600000000000001</v>
      </c>
      <c r="B257" s="97">
        <v>72897</v>
      </c>
      <c r="C257" s="211" t="s">
        <v>82</v>
      </c>
      <c r="D257" s="103" t="s">
        <v>83</v>
      </c>
      <c r="E257" s="125">
        <v>1</v>
      </c>
      <c r="F257" s="105"/>
      <c r="G257" s="105">
        <f t="shared" si="21"/>
        <v>0</v>
      </c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2.75" customHeight="1">
      <c r="A258" s="122">
        <v>17.7</v>
      </c>
      <c r="B258" s="133">
        <v>88489</v>
      </c>
      <c r="C258" s="324" t="s">
        <v>60</v>
      </c>
      <c r="D258" s="134" t="s">
        <v>398</v>
      </c>
      <c r="E258" s="135">
        <v>3</v>
      </c>
      <c r="F258" s="135"/>
      <c r="G258" s="136">
        <f t="shared" si="21"/>
        <v>0</v>
      </c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2.75" customHeight="1">
      <c r="A259" s="122">
        <v>17.8</v>
      </c>
      <c r="B259" s="133">
        <v>99803</v>
      </c>
      <c r="C259" s="133" t="s">
        <v>82</v>
      </c>
      <c r="D259" s="134" t="s">
        <v>186</v>
      </c>
      <c r="E259" s="135">
        <v>20</v>
      </c>
      <c r="F259" s="135"/>
      <c r="G259" s="136">
        <f t="shared" si="21"/>
        <v>0</v>
      </c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2.75" customHeight="1">
      <c r="A260" s="264"/>
      <c r="B260" s="185"/>
      <c r="C260" s="265"/>
      <c r="D260" s="732" t="s">
        <v>84</v>
      </c>
      <c r="E260" s="721"/>
      <c r="F260" s="728"/>
      <c r="G260" s="352">
        <f>SUM(G252:G259)</f>
        <v>0</v>
      </c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2.75" customHeight="1">
      <c r="A261" s="95">
        <v>18</v>
      </c>
      <c r="B261" s="696" t="s">
        <v>404</v>
      </c>
      <c r="C261" s="682"/>
      <c r="D261" s="682"/>
      <c r="E261" s="682"/>
      <c r="F261" s="682"/>
      <c r="G261" s="683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5.5" customHeight="1">
      <c r="A262" s="102">
        <v>18.100000000000001</v>
      </c>
      <c r="B262" s="258" t="s">
        <v>405</v>
      </c>
      <c r="C262" s="97" t="s">
        <v>45</v>
      </c>
      <c r="D262" s="259" t="str">
        <f>'Composição de Custos '!D407</f>
        <v>RELOCAR BARRA ANTIPÂNICO PARA 90CM DE ACORDO COM A NBR 11785 E COM A NBR 9050, INSTALAR CHAPA NA PORTA E PINTURA GERAL</v>
      </c>
      <c r="E262" s="257">
        <v>6</v>
      </c>
      <c r="F262" s="257"/>
      <c r="G262" s="105">
        <f t="shared" ref="G262:G264" si="22">F262*E262</f>
        <v>0</v>
      </c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2.75" customHeight="1">
      <c r="A263" s="102">
        <v>18.2</v>
      </c>
      <c r="B263" s="97" t="s">
        <v>362</v>
      </c>
      <c r="C263" s="124" t="s">
        <v>45</v>
      </c>
      <c r="D263" s="103" t="str">
        <f>'Composição de Custos '!D337</f>
        <v>BEBEDOURO TIPO COLUNA CONJUGADO ACESSÍVEL  IBBL OU SIMILAR</v>
      </c>
      <c r="E263" s="129">
        <v>1</v>
      </c>
      <c r="F263" s="129"/>
      <c r="G263" s="105">
        <f t="shared" si="22"/>
        <v>0</v>
      </c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>
      <c r="A264" s="137">
        <v>18.3</v>
      </c>
      <c r="B264" s="138" t="s">
        <v>147</v>
      </c>
      <c r="C264" s="138" t="s">
        <v>60</v>
      </c>
      <c r="D264" s="137" t="s">
        <v>407</v>
      </c>
      <c r="E264" s="139">
        <v>47.1</v>
      </c>
      <c r="F264" s="145"/>
      <c r="G264" s="136">
        <f t="shared" si="22"/>
        <v>0</v>
      </c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2.75" customHeight="1">
      <c r="A265" s="113"/>
      <c r="B265" s="113"/>
      <c r="C265" s="113"/>
      <c r="D265" s="705" t="s">
        <v>84</v>
      </c>
      <c r="E265" s="682"/>
      <c r="F265" s="683"/>
      <c r="G265" s="130">
        <f>SUM(G262:G264)</f>
        <v>0</v>
      </c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7.25" customHeight="1">
      <c r="A266" s="354"/>
      <c r="B266" s="355"/>
      <c r="C266" s="355"/>
      <c r="D266" s="356" t="s">
        <v>410</v>
      </c>
      <c r="E266" s="357"/>
      <c r="F266" s="358"/>
      <c r="G266" s="358">
        <f>G265+G260+G250+G223+G160+G142+G193</f>
        <v>0</v>
      </c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7.25" customHeight="1">
      <c r="A267" s="359"/>
      <c r="B267" s="360"/>
      <c r="C267" s="360"/>
      <c r="D267" s="361" t="s">
        <v>76</v>
      </c>
      <c r="E267" s="362">
        <f>BDI!D16/100</f>
        <v>0</v>
      </c>
      <c r="F267" s="363"/>
      <c r="G267" s="363">
        <f>E267*G266</f>
        <v>0</v>
      </c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7.25" customHeight="1">
      <c r="A268" s="359"/>
      <c r="B268" s="360"/>
      <c r="C268" s="360"/>
      <c r="D268" s="361" t="s">
        <v>415</v>
      </c>
      <c r="E268" s="364"/>
      <c r="F268" s="363"/>
      <c r="G268" s="363">
        <f>G266+G267</f>
        <v>0</v>
      </c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8" customHeight="1">
      <c r="A269" s="710" t="s">
        <v>417</v>
      </c>
      <c r="B269" s="711"/>
      <c r="C269" s="711"/>
      <c r="D269" s="711"/>
      <c r="E269" s="711"/>
      <c r="F269" s="711"/>
      <c r="G269" s="712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</row>
    <row r="270" spans="1:26" ht="12.75" customHeight="1">
      <c r="A270" s="95">
        <v>19</v>
      </c>
      <c r="B270" s="696" t="s">
        <v>418</v>
      </c>
      <c r="C270" s="682"/>
      <c r="D270" s="682"/>
      <c r="E270" s="682"/>
      <c r="F270" s="682"/>
      <c r="G270" s="683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5.5" customHeight="1">
      <c r="A271" s="128">
        <v>19.100000000000001</v>
      </c>
      <c r="B271" s="97" t="str">
        <f>'Composição de Custos '!A90</f>
        <v>C007.1</v>
      </c>
      <c r="C271" s="124" t="s">
        <v>45</v>
      </c>
      <c r="D271" s="103" t="str">
        <f>'Composição de Custos '!D90</f>
        <v xml:space="preserve">INSTALAÇÃO DE CHAPA (2 lados) E PUXADOR HORIZONTAL( COMPRIMENTO 40CM E DIAM. 3CM) </v>
      </c>
      <c r="E271" s="125">
        <v>1</v>
      </c>
      <c r="F271" s="105"/>
      <c r="G271" s="105">
        <f t="shared" ref="G271:G292" si="23">F271*E271</f>
        <v>0</v>
      </c>
      <c r="H271" s="79"/>
      <c r="I271" s="79"/>
      <c r="J271" s="79">
        <v>101.08</v>
      </c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30" customHeight="1">
      <c r="A272" s="128">
        <v>19.2</v>
      </c>
      <c r="B272" s="97" t="s">
        <v>230</v>
      </c>
      <c r="C272" s="97" t="s">
        <v>45</v>
      </c>
      <c r="D272" s="103" t="str">
        <f>'Composição de Custos '!D279</f>
        <v>PLACA DE SINALIZAÇÃO EM BRAILLE E AUTORELEVO 20 X 40 - ACRILICO COM SIMBOLO INTERNACIONAL DE ACESSO CONFORME PROJETO</v>
      </c>
      <c r="E272" s="125">
        <v>1</v>
      </c>
      <c r="F272" s="105"/>
      <c r="G272" s="105">
        <f t="shared" si="23"/>
        <v>0</v>
      </c>
      <c r="H272" s="79"/>
      <c r="I272" s="79"/>
      <c r="J272" s="79">
        <v>67.817100000000011</v>
      </c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38.25" customHeight="1">
      <c r="A273" s="128">
        <v>19.3</v>
      </c>
      <c r="B273" s="97">
        <v>90830</v>
      </c>
      <c r="C273" s="97" t="s">
        <v>45</v>
      </c>
      <c r="D273" s="103" t="s">
        <v>295</v>
      </c>
      <c r="E273" s="190">
        <v>1</v>
      </c>
      <c r="F273" s="105"/>
      <c r="G273" s="105">
        <f t="shared" si="23"/>
        <v>0</v>
      </c>
      <c r="H273" s="79"/>
      <c r="I273" s="79"/>
      <c r="J273" s="79">
        <v>64.073041199999992</v>
      </c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5.5" customHeight="1">
      <c r="A274" s="128">
        <v>19.399999999999999</v>
      </c>
      <c r="B274" s="97" t="s">
        <v>423</v>
      </c>
      <c r="C274" s="124" t="s">
        <v>60</v>
      </c>
      <c r="D274" s="103" t="str">
        <f>'Composição de Custos '!D415</f>
        <v>CONSTRUÇÃO DE ALVENARIA 9X19X19CM, COM REVESTIMENTO CERAMICO 20X20CM,  PARA ADEQUAR BANHEIROS</v>
      </c>
      <c r="E274" s="190">
        <f>0.15*2.6</f>
        <v>0.39</v>
      </c>
      <c r="F274" s="105"/>
      <c r="G274" s="105">
        <f t="shared" si="23"/>
        <v>0</v>
      </c>
      <c r="H274" s="79"/>
      <c r="I274" s="79"/>
      <c r="J274" s="79">
        <v>2285.0100000000002</v>
      </c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2.75" customHeight="1">
      <c r="A275" s="128">
        <v>19.5</v>
      </c>
      <c r="B275" s="97" t="s">
        <v>233</v>
      </c>
      <c r="C275" s="97" t="s">
        <v>60</v>
      </c>
      <c r="D275" s="103" t="str">
        <f>'Composição de Custos '!D502</f>
        <v>RETIRADA DE CHAPA DE GRANITO DE BOX DE BANHEIRO COMO REAPROVEITAMENTO</v>
      </c>
      <c r="E275" s="125">
        <f>(1.06+0.67)*1.8</f>
        <v>3.1139999999999999</v>
      </c>
      <c r="F275" s="105"/>
      <c r="G275" s="105">
        <f t="shared" si="23"/>
        <v>0</v>
      </c>
      <c r="H275" s="79"/>
      <c r="I275" s="79"/>
      <c r="J275" s="79">
        <v>909.65914360000022</v>
      </c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2.75" customHeight="1">
      <c r="A276" s="128">
        <v>19.600000000000001</v>
      </c>
      <c r="B276" s="97" t="s">
        <v>395</v>
      </c>
      <c r="C276" s="124" t="s">
        <v>60</v>
      </c>
      <c r="D276" s="103" t="str">
        <f>'Composição de Custos '!D368</f>
        <v>DIVISÓRIA EM GRANITO, COM DUAS FACES POLIDAS, COR CINZA,  PARA INSTALAÇÃO EM BOXES DE BANHEIRO</v>
      </c>
      <c r="E276" s="190">
        <f>2.1*1.8</f>
        <v>3.7800000000000002</v>
      </c>
      <c r="F276" s="105"/>
      <c r="G276" s="105">
        <f t="shared" si="23"/>
        <v>0</v>
      </c>
      <c r="H276" s="79"/>
      <c r="I276" s="79"/>
      <c r="J276" s="79">
        <v>653.83992704000013</v>
      </c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2.75" customHeight="1">
      <c r="A277" s="128">
        <v>19.7</v>
      </c>
      <c r="B277" s="367" t="s">
        <v>429</v>
      </c>
      <c r="C277" s="367" t="s">
        <v>45</v>
      </c>
      <c r="D277" s="103" t="str">
        <f>'Composição de Custos '!D513</f>
        <v>RETIRADA DE LOUÇAS SANITÁRIAS</v>
      </c>
      <c r="E277" s="190">
        <v>6</v>
      </c>
      <c r="F277" s="105"/>
      <c r="G277" s="105">
        <f t="shared" si="23"/>
        <v>0</v>
      </c>
      <c r="H277" s="79"/>
      <c r="I277" s="79"/>
      <c r="J277" s="79">
        <v>87.399999999999991</v>
      </c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2.75" customHeight="1">
      <c r="A278" s="128">
        <v>19.8</v>
      </c>
      <c r="B278" s="97" t="s">
        <v>246</v>
      </c>
      <c r="C278" s="97" t="s">
        <v>45</v>
      </c>
      <c r="D278" s="261" t="str">
        <f>'Composição de Custos '!D319</f>
        <v>READEQUAÇÃO DE PONTO HIDRAULICO PARA VASO SANITÁRIO</v>
      </c>
      <c r="E278" s="257">
        <v>4</v>
      </c>
      <c r="F278" s="105"/>
      <c r="G278" s="105">
        <f t="shared" si="23"/>
        <v>0</v>
      </c>
      <c r="H278" s="79"/>
      <c r="I278" s="79"/>
      <c r="J278" s="79">
        <v>137.68</v>
      </c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2.75" customHeight="1">
      <c r="A279" s="128">
        <v>19.899999999999999</v>
      </c>
      <c r="B279" s="367" t="s">
        <v>432</v>
      </c>
      <c r="C279" s="367" t="s">
        <v>45</v>
      </c>
      <c r="D279" s="103" t="str">
        <f>'Composição de Custos '!D519</f>
        <v>REINSTALAÇÃO DE LOUÇAS SANITÁRIAS</v>
      </c>
      <c r="E279" s="190">
        <v>4</v>
      </c>
      <c r="F279" s="105"/>
      <c r="G279" s="105">
        <f t="shared" si="23"/>
        <v>0</v>
      </c>
      <c r="H279" s="79"/>
      <c r="I279" s="79"/>
      <c r="J279" s="79">
        <v>63.135600000000004</v>
      </c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5.5" customHeight="1">
      <c r="A280" s="368">
        <v>19.100000000000001</v>
      </c>
      <c r="B280" s="367" t="s">
        <v>287</v>
      </c>
      <c r="C280" s="367" t="s">
        <v>45</v>
      </c>
      <c r="D280" s="103" t="str">
        <f>'Composição de Custos '!D220</f>
        <v>PORTA DE ALUMINIO 90 CM TIPO VENEZIANA COM PUXADOR HORIZONTAL E TARJETA LIVRE/OCUPADO</v>
      </c>
      <c r="E280" s="190">
        <v>1</v>
      </c>
      <c r="F280" s="105"/>
      <c r="G280" s="105">
        <f t="shared" si="23"/>
        <v>0</v>
      </c>
      <c r="H280" s="79"/>
      <c r="I280" s="79"/>
      <c r="J280" s="79">
        <v>44.186999999999991</v>
      </c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6.25" customHeight="1">
      <c r="A281" s="128">
        <v>19.11</v>
      </c>
      <c r="B281" s="367" t="str">
        <f>'Composição de Custos '!A243</f>
        <v>C021.3</v>
      </c>
      <c r="C281" s="367" t="s">
        <v>45</v>
      </c>
      <c r="D281" s="259" t="str">
        <f>'Composição de Custos '!D243</f>
        <v>PORTA DE CORRER ALUMINIO 100 CM TIPO VENEZIANA COM PUXADOR HORIZONTAL E TARJETA LIVRE/OCUPADO</v>
      </c>
      <c r="E281" s="190">
        <v>1</v>
      </c>
      <c r="F281" s="105"/>
      <c r="G281" s="105">
        <f t="shared" si="23"/>
        <v>0</v>
      </c>
      <c r="H281" s="79"/>
      <c r="I281" s="79"/>
      <c r="J281" s="79">
        <v>237.04240000000001</v>
      </c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2.75" customHeight="1">
      <c r="A282" s="128">
        <v>19.12</v>
      </c>
      <c r="B282" s="97" t="s">
        <v>242</v>
      </c>
      <c r="C282" s="97" t="s">
        <v>45</v>
      </c>
      <c r="D282" s="103" t="str">
        <f>'Composição de Custos '!D174</f>
        <v>RETIRADA DE BARRAS DE APOIO DOS SANITÁRIOS</v>
      </c>
      <c r="E282" s="125">
        <v>3</v>
      </c>
      <c r="F282" s="105"/>
      <c r="G282" s="105">
        <f t="shared" si="23"/>
        <v>0</v>
      </c>
      <c r="H282" s="79"/>
      <c r="I282" s="79"/>
      <c r="J282" s="79">
        <v>143.5249</v>
      </c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7" customHeight="1">
      <c r="A283" s="128">
        <v>19.13</v>
      </c>
      <c r="B283" s="97" t="s">
        <v>184</v>
      </c>
      <c r="C283" s="97" t="s">
        <v>45</v>
      </c>
      <c r="D283" s="103" t="str">
        <f>'Composição de Custos '!D72</f>
        <v xml:space="preserve">BARRA DE APOIO EM TUBO DE AÇO INOXIDÁVEL OU ALUMÍNIO, COM 70 CM, DIAM. 30 À 45 MM, FIXAÇÃO VERTICAL OU HORIZONTAL  </v>
      </c>
      <c r="E283" s="125">
        <v>3</v>
      </c>
      <c r="F283" s="105"/>
      <c r="G283" s="105">
        <f t="shared" si="23"/>
        <v>0</v>
      </c>
      <c r="H283" s="79"/>
      <c r="I283" s="79"/>
      <c r="J283" s="79">
        <v>345.56799999999998</v>
      </c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6.25" customHeight="1">
      <c r="A284" s="128">
        <v>19.14</v>
      </c>
      <c r="B284" s="97" t="s">
        <v>271</v>
      </c>
      <c r="C284" s="124" t="s">
        <v>45</v>
      </c>
      <c r="D284" s="103" t="str">
        <f>'Composição de Custos '!D179</f>
        <v>BARRA DE APOIO RETA, EM ACO INOX POLIDO, COMPRIMENTO 40CM, DIAMETRO MINIMO 3, FIXAÇÃO VERTICAL NA PAREDE</v>
      </c>
      <c r="E284" s="190">
        <v>2</v>
      </c>
      <c r="F284" s="105"/>
      <c r="G284" s="105">
        <f t="shared" si="23"/>
        <v>0</v>
      </c>
      <c r="H284" s="79"/>
      <c r="I284" s="79"/>
      <c r="J284" s="79">
        <v>92.649600000000021</v>
      </c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8.5" customHeight="1">
      <c r="A285" s="128">
        <v>19.149999999999999</v>
      </c>
      <c r="B285" s="97" t="s">
        <v>257</v>
      </c>
      <c r="C285" s="97" t="s">
        <v>45</v>
      </c>
      <c r="D285" s="103" t="str">
        <f>'Composição de Custos '!D158</f>
        <v>BARRA DE APOIO HORIZONTAL, EM AÇO INOX PARA P.N.E L = 80CM (VASO SANITÁRIO) CONFORME NBR 9050</v>
      </c>
      <c r="E285" s="190">
        <v>2</v>
      </c>
      <c r="F285" s="105"/>
      <c r="G285" s="105">
        <f t="shared" si="23"/>
        <v>0</v>
      </c>
      <c r="H285" s="79"/>
      <c r="I285" s="79"/>
      <c r="J285" s="79">
        <v>71.540000000000006</v>
      </c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>
      <c r="A286" s="128">
        <v>19.16</v>
      </c>
      <c r="B286" s="97">
        <v>85005</v>
      </c>
      <c r="C286" s="97" t="s">
        <v>60</v>
      </c>
      <c r="D286" s="103" t="s">
        <v>263</v>
      </c>
      <c r="E286" s="190">
        <f>0.4*0.9</f>
        <v>0.36000000000000004</v>
      </c>
      <c r="F286" s="105"/>
      <c r="G286" s="105">
        <f t="shared" si="23"/>
        <v>0</v>
      </c>
      <c r="H286" s="79"/>
      <c r="I286" s="79"/>
      <c r="J286" s="79">
        <v>67.64</v>
      </c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2.75" customHeight="1">
      <c r="A287" s="368">
        <v>19.170000000000002</v>
      </c>
      <c r="B287" s="97" t="s">
        <v>218</v>
      </c>
      <c r="C287" s="124" t="s">
        <v>45</v>
      </c>
      <c r="D287" s="103" t="str">
        <f>'Composição de Custos '!D107</f>
        <v>TOALHEIRO PLASTICO TIPO DISPENSER PARA PAPEL TOALHA INTERFOLHADO</v>
      </c>
      <c r="E287" s="190">
        <v>1</v>
      </c>
      <c r="F287" s="105"/>
      <c r="G287" s="105">
        <f t="shared" si="23"/>
        <v>0</v>
      </c>
      <c r="H287" s="79"/>
      <c r="I287" s="79"/>
      <c r="J287" s="79">
        <v>51.59</v>
      </c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5.5" customHeight="1">
      <c r="A288" s="128">
        <v>19.18</v>
      </c>
      <c r="B288" s="97" t="s">
        <v>220</v>
      </c>
      <c r="C288" s="97" t="s">
        <v>45</v>
      </c>
      <c r="D288" s="103" t="str">
        <f>'Composição de Custos '!D112</f>
        <v>SABONETEIRA PLASTICA TIPO DISPENSER PARA SABONETE LIQUIDO COM RESERVATORIO 800 A 1500 ML</v>
      </c>
      <c r="E288" s="190">
        <v>1</v>
      </c>
      <c r="F288" s="105"/>
      <c r="G288" s="105">
        <f t="shared" si="23"/>
        <v>0</v>
      </c>
      <c r="H288" s="79"/>
      <c r="I288" s="79"/>
      <c r="J288" s="79">
        <v>20.27</v>
      </c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5.5" customHeight="1">
      <c r="A289" s="128">
        <v>19.190000000000001</v>
      </c>
      <c r="B289" s="97" t="s">
        <v>223</v>
      </c>
      <c r="C289" s="124" t="s">
        <v>45</v>
      </c>
      <c r="D289" s="103" t="str">
        <f>'Composição de Custos '!D117</f>
        <v>TOALHEIRO PLASTICO TIPO DISPENSER PARA PAPEL TOALHA INTERFOLHADO PARA BOX SANITÁRIO</v>
      </c>
      <c r="E289" s="190">
        <v>1</v>
      </c>
      <c r="F289" s="105"/>
      <c r="G289" s="105">
        <f t="shared" si="23"/>
        <v>0</v>
      </c>
      <c r="H289" s="79"/>
      <c r="I289" s="79"/>
      <c r="J289" s="79">
        <v>30.91</v>
      </c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2.75" customHeight="1">
      <c r="A290" s="368">
        <v>19.2</v>
      </c>
      <c r="B290" s="97">
        <v>72897</v>
      </c>
      <c r="C290" s="211" t="s">
        <v>82</v>
      </c>
      <c r="D290" s="213" t="s">
        <v>83</v>
      </c>
      <c r="E290" s="216">
        <v>1</v>
      </c>
      <c r="F290" s="105"/>
      <c r="G290" s="105">
        <f t="shared" si="23"/>
        <v>0</v>
      </c>
      <c r="H290" s="79"/>
      <c r="I290" s="79"/>
      <c r="J290" s="79">
        <v>15.8</v>
      </c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2.75" customHeight="1">
      <c r="A291" s="132">
        <v>19.21</v>
      </c>
      <c r="B291" s="133">
        <v>87264</v>
      </c>
      <c r="C291" s="324" t="s">
        <v>60</v>
      </c>
      <c r="D291" s="325" t="s">
        <v>183</v>
      </c>
      <c r="E291" s="345">
        <v>0.34</v>
      </c>
      <c r="F291" s="105"/>
      <c r="G291" s="136">
        <f t="shared" si="23"/>
        <v>0</v>
      </c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2.75" customHeight="1">
      <c r="A292" s="132">
        <v>19.22</v>
      </c>
      <c r="B292" s="133">
        <v>99803</v>
      </c>
      <c r="C292" s="133" t="s">
        <v>82</v>
      </c>
      <c r="D292" s="134" t="s">
        <v>186</v>
      </c>
      <c r="E292" s="135">
        <v>10</v>
      </c>
      <c r="F292" s="105"/>
      <c r="G292" s="136">
        <f t="shared" si="23"/>
        <v>0</v>
      </c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7.25" customHeight="1">
      <c r="A293" s="184"/>
      <c r="B293" s="185"/>
      <c r="C293" s="185"/>
      <c r="D293" s="702" t="s">
        <v>84</v>
      </c>
      <c r="E293" s="703"/>
      <c r="F293" s="704"/>
      <c r="G293" s="187">
        <f>SUM(G271:G292)</f>
        <v>0</v>
      </c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2.75" customHeight="1">
      <c r="A294" s="95">
        <v>20</v>
      </c>
      <c r="B294" s="696" t="s">
        <v>447</v>
      </c>
      <c r="C294" s="682"/>
      <c r="D294" s="682"/>
      <c r="E294" s="682"/>
      <c r="F294" s="682"/>
      <c r="G294" s="683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5.5" customHeight="1">
      <c r="A295" s="128">
        <v>20.100000000000001</v>
      </c>
      <c r="B295" s="97" t="str">
        <f>'Composição de Custos '!A90</f>
        <v>C007.1</v>
      </c>
      <c r="C295" s="124" t="s">
        <v>45</v>
      </c>
      <c r="D295" s="103" t="str">
        <f>'Composição de Custos '!D90</f>
        <v xml:space="preserve">INSTALAÇÃO DE CHAPA (2 lados) E PUXADOR HORIZONTAL( COMPRIMENTO 40CM E DIAM. 3CM) </v>
      </c>
      <c r="E295" s="372">
        <v>1</v>
      </c>
      <c r="F295" s="105"/>
      <c r="G295" s="189">
        <f t="shared" ref="G295:G316" si="24">F295*E295</f>
        <v>0</v>
      </c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5.5" customHeight="1">
      <c r="A296" s="128">
        <v>20.2</v>
      </c>
      <c r="B296" s="97" t="s">
        <v>230</v>
      </c>
      <c r="C296" s="124" t="s">
        <v>45</v>
      </c>
      <c r="D296" s="103" t="str">
        <f>'Composição de Custos '!D279</f>
        <v>PLACA DE SINALIZAÇÃO EM BRAILLE E AUTORELEVO 20 X 40 - ACRILICO COM SIMBOLO INTERNACIONAL DE ACESSO CONFORME PROJETO</v>
      </c>
      <c r="E296" s="125">
        <v>1</v>
      </c>
      <c r="F296" s="105"/>
      <c r="G296" s="105">
        <f t="shared" si="24"/>
        <v>0</v>
      </c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38.25" customHeight="1">
      <c r="A297" s="128">
        <v>20.3</v>
      </c>
      <c r="B297" s="97">
        <v>90830</v>
      </c>
      <c r="C297" s="124" t="s">
        <v>45</v>
      </c>
      <c r="D297" s="103" t="s">
        <v>295</v>
      </c>
      <c r="E297" s="190">
        <v>1</v>
      </c>
      <c r="F297" s="105"/>
      <c r="G297" s="105">
        <f t="shared" si="24"/>
        <v>0</v>
      </c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5.5" customHeight="1">
      <c r="A298" s="128">
        <v>20.399999999999999</v>
      </c>
      <c r="B298" s="97" t="s">
        <v>423</v>
      </c>
      <c r="C298" s="124" t="s">
        <v>60</v>
      </c>
      <c r="D298" s="103" t="str">
        <f>'Composição de Custos '!D415</f>
        <v>CONSTRUÇÃO DE ALVENARIA 9X19X19CM, COM REVESTIMENTO CERAMICO 20X20CM,  PARA ADEQUAR BANHEIROS</v>
      </c>
      <c r="E298" s="190">
        <f>0.15*2.6</f>
        <v>0.39</v>
      </c>
      <c r="F298" s="105"/>
      <c r="G298" s="105">
        <f t="shared" si="24"/>
        <v>0</v>
      </c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2.75" customHeight="1">
      <c r="A299" s="128">
        <v>20.5</v>
      </c>
      <c r="B299" s="97" t="s">
        <v>233</v>
      </c>
      <c r="C299" s="97" t="s">
        <v>60</v>
      </c>
      <c r="D299" s="103" t="str">
        <f>'Composição de Custos '!D502</f>
        <v>RETIRADA DE CHAPA DE GRANITO DE BOX DE BANHEIRO COMO REAPROVEITAMENTO</v>
      </c>
      <c r="E299" s="190">
        <f t="shared" ref="E299:E300" si="25">E275</f>
        <v>3.1139999999999999</v>
      </c>
      <c r="F299" s="105"/>
      <c r="G299" s="105">
        <f t="shared" si="24"/>
        <v>0</v>
      </c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2.75" customHeight="1">
      <c r="A300" s="128">
        <v>20.6</v>
      </c>
      <c r="B300" s="97" t="s">
        <v>395</v>
      </c>
      <c r="C300" s="124" t="s">
        <v>60</v>
      </c>
      <c r="D300" s="103" t="str">
        <f>'Composição de Custos '!D368</f>
        <v>DIVISÓRIA EM GRANITO, COM DUAS FACES POLIDAS, COR CINZA,  PARA INSTALAÇÃO EM BOXES DE BANHEIRO</v>
      </c>
      <c r="E300" s="125">
        <f t="shared" si="25"/>
        <v>3.7800000000000002</v>
      </c>
      <c r="F300" s="105"/>
      <c r="G300" s="105">
        <f t="shared" si="24"/>
        <v>0</v>
      </c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8.5" customHeight="1">
      <c r="A301" s="128">
        <v>20.7</v>
      </c>
      <c r="B301" s="144" t="s">
        <v>302</v>
      </c>
      <c r="C301" s="144" t="s">
        <v>45</v>
      </c>
      <c r="D301" s="103" t="str">
        <f>'Composição de Custos '!D243</f>
        <v>PORTA DE CORRER ALUMINIO 100 CM TIPO VENEZIANA COM PUXADOR HORIZONTAL E TARJETA LIVRE/OCUPADO</v>
      </c>
      <c r="E301" s="125">
        <v>1</v>
      </c>
      <c r="F301" s="105"/>
      <c r="G301" s="105">
        <f t="shared" si="24"/>
        <v>0</v>
      </c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6.25" customHeight="1">
      <c r="A302" s="128">
        <v>20.8</v>
      </c>
      <c r="B302" s="367" t="str">
        <f>'Composição de Custos '!A220</f>
        <v>C021</v>
      </c>
      <c r="C302" s="367" t="s">
        <v>45</v>
      </c>
      <c r="D302" s="259" t="str">
        <f>'Composição de Custos '!D220</f>
        <v>PORTA DE ALUMINIO 90 CM TIPO VENEZIANA COM PUXADOR HORIZONTAL E TARJETA LIVRE/OCUPADO</v>
      </c>
      <c r="E302" s="190">
        <v>1</v>
      </c>
      <c r="F302" s="105"/>
      <c r="G302" s="105">
        <f t="shared" si="24"/>
        <v>0</v>
      </c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2.75" customHeight="1">
      <c r="A303" s="128">
        <v>20.9</v>
      </c>
      <c r="B303" s="367" t="s">
        <v>429</v>
      </c>
      <c r="C303" s="367" t="s">
        <v>45</v>
      </c>
      <c r="D303" s="103" t="str">
        <f>'Composição de Custos '!D513</f>
        <v>RETIRADA DE LOUÇAS SANITÁRIAS</v>
      </c>
      <c r="E303" s="190">
        <v>4</v>
      </c>
      <c r="F303" s="105"/>
      <c r="G303" s="105">
        <f t="shared" si="24"/>
        <v>0</v>
      </c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2.75" customHeight="1">
      <c r="A304" s="368">
        <v>20.100000000000001</v>
      </c>
      <c r="B304" s="97" t="s">
        <v>246</v>
      </c>
      <c r="C304" s="97" t="s">
        <v>45</v>
      </c>
      <c r="D304" s="261" t="str">
        <f>'Composição de Custos '!D319</f>
        <v>READEQUAÇÃO DE PONTO HIDRAULICO PARA VASO SANITÁRIO</v>
      </c>
      <c r="E304" s="257">
        <v>2</v>
      </c>
      <c r="F304" s="105"/>
      <c r="G304" s="105">
        <f t="shared" si="24"/>
        <v>0</v>
      </c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2.75" customHeight="1">
      <c r="A305" s="128">
        <v>20.11</v>
      </c>
      <c r="B305" s="367" t="s">
        <v>432</v>
      </c>
      <c r="C305" s="367" t="s">
        <v>45</v>
      </c>
      <c r="D305" s="103" t="str">
        <f>'Composição de Custos '!D519</f>
        <v>REINSTALAÇÃO DE LOUÇAS SANITÁRIAS</v>
      </c>
      <c r="E305" s="190">
        <v>2</v>
      </c>
      <c r="F305" s="105"/>
      <c r="G305" s="105">
        <f t="shared" si="24"/>
        <v>0</v>
      </c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2.75" customHeight="1">
      <c r="A306" s="128">
        <v>20.12</v>
      </c>
      <c r="B306" s="97" t="s">
        <v>242</v>
      </c>
      <c r="C306" s="97" t="s">
        <v>45</v>
      </c>
      <c r="D306" s="103" t="str">
        <f>'Composição de Custos '!D174</f>
        <v>RETIRADA DE BARRAS DE APOIO DOS SANITÁRIOS</v>
      </c>
      <c r="E306" s="125">
        <v>3</v>
      </c>
      <c r="F306" s="105"/>
      <c r="G306" s="105">
        <f t="shared" si="24"/>
        <v>0</v>
      </c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7.75" customHeight="1">
      <c r="A307" s="128">
        <v>20.13</v>
      </c>
      <c r="B307" s="97" t="s">
        <v>271</v>
      </c>
      <c r="C307" s="124" t="s">
        <v>45</v>
      </c>
      <c r="D307" s="103" t="str">
        <f>'Composição de Custos '!D179</f>
        <v>BARRA DE APOIO RETA, EM ACO INOX POLIDO, COMPRIMENTO 40CM, DIAMETRO MINIMO 3, FIXAÇÃO VERTICAL NA PAREDE</v>
      </c>
      <c r="E307" s="125">
        <v>2</v>
      </c>
      <c r="F307" s="105"/>
      <c r="G307" s="105">
        <f t="shared" si="24"/>
        <v>0</v>
      </c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5.5" customHeight="1">
      <c r="A308" s="128">
        <v>20.14</v>
      </c>
      <c r="B308" s="97" t="s">
        <v>184</v>
      </c>
      <c r="C308" s="97" t="s">
        <v>45</v>
      </c>
      <c r="D308" s="103" t="str">
        <f>'Composição de Custos '!D72</f>
        <v xml:space="preserve">BARRA DE APOIO EM TUBO DE AÇO INOXIDÁVEL OU ALUMÍNIO, COM 70 CM, DIAM. 30 À 45 MM, FIXAÇÃO VERTICAL OU HORIZONTAL  </v>
      </c>
      <c r="E308" s="125">
        <v>1</v>
      </c>
      <c r="F308" s="105"/>
      <c r="G308" s="105">
        <f t="shared" si="24"/>
        <v>0</v>
      </c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" customHeight="1">
      <c r="A309" s="128">
        <v>20.149999999999999</v>
      </c>
      <c r="B309" s="97" t="s">
        <v>257</v>
      </c>
      <c r="C309" s="97" t="s">
        <v>45</v>
      </c>
      <c r="D309" s="103" t="str">
        <f>'Composição de Custos '!D158</f>
        <v>BARRA DE APOIO HORIZONTAL, EM AÇO INOX PARA P.N.E L = 80CM (VASO SANITÁRIO) CONFORME NBR 9050</v>
      </c>
      <c r="E309" s="125">
        <v>2</v>
      </c>
      <c r="F309" s="105"/>
      <c r="G309" s="105">
        <f t="shared" si="24"/>
        <v>0</v>
      </c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7.25" customHeight="1">
      <c r="A310" s="128">
        <v>20.16</v>
      </c>
      <c r="B310" s="97">
        <v>85005</v>
      </c>
      <c r="C310" s="97" t="s">
        <v>60</v>
      </c>
      <c r="D310" s="103" t="s">
        <v>263</v>
      </c>
      <c r="E310" s="125">
        <f>0.4*0.9</f>
        <v>0.36000000000000004</v>
      </c>
      <c r="F310" s="105"/>
      <c r="G310" s="105">
        <f t="shared" si="24"/>
        <v>0</v>
      </c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" customHeight="1">
      <c r="A311" s="128">
        <v>20.170000000000002</v>
      </c>
      <c r="B311" s="97" t="s">
        <v>218</v>
      </c>
      <c r="C311" s="124" t="s">
        <v>45</v>
      </c>
      <c r="D311" s="103" t="str">
        <f>'Composição de Custos '!D107</f>
        <v>TOALHEIRO PLASTICO TIPO DISPENSER PARA PAPEL TOALHA INTERFOLHADO</v>
      </c>
      <c r="E311" s="125">
        <v>1</v>
      </c>
      <c r="F311" s="105"/>
      <c r="G311" s="105">
        <f t="shared" si="24"/>
        <v>0</v>
      </c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5.5" customHeight="1">
      <c r="A312" s="128">
        <v>20.18</v>
      </c>
      <c r="B312" s="97" t="s">
        <v>220</v>
      </c>
      <c r="C312" s="97" t="s">
        <v>45</v>
      </c>
      <c r="D312" s="103" t="str">
        <f>'Composição de Custos '!D112</f>
        <v>SABONETEIRA PLASTICA TIPO DISPENSER PARA SABONETE LIQUIDO COM RESERVATORIO 800 A 1500 ML</v>
      </c>
      <c r="E312" s="125">
        <v>1</v>
      </c>
      <c r="F312" s="105"/>
      <c r="G312" s="105">
        <f t="shared" si="24"/>
        <v>0</v>
      </c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6.25" customHeight="1">
      <c r="A313" s="368">
        <v>20.190000000000001</v>
      </c>
      <c r="B313" s="97" t="s">
        <v>223</v>
      </c>
      <c r="C313" s="124" t="s">
        <v>45</v>
      </c>
      <c r="D313" s="103" t="str">
        <f>'Composição de Custos '!D117</f>
        <v>TOALHEIRO PLASTICO TIPO DISPENSER PARA PAPEL TOALHA INTERFOLHADO PARA BOX SANITÁRIO</v>
      </c>
      <c r="E313" s="190">
        <v>1</v>
      </c>
      <c r="F313" s="105"/>
      <c r="G313" s="105">
        <f t="shared" si="24"/>
        <v>0</v>
      </c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2.75" customHeight="1">
      <c r="A314" s="368">
        <v>20.2</v>
      </c>
      <c r="B314" s="97">
        <v>72897</v>
      </c>
      <c r="C314" s="211" t="s">
        <v>82</v>
      </c>
      <c r="D314" s="213" t="s">
        <v>83</v>
      </c>
      <c r="E314" s="216">
        <v>1</v>
      </c>
      <c r="F314" s="105"/>
      <c r="G314" s="105">
        <f t="shared" si="24"/>
        <v>0</v>
      </c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2.75" customHeight="1">
      <c r="A315" s="132">
        <v>20.21</v>
      </c>
      <c r="B315" s="133">
        <v>87264</v>
      </c>
      <c r="C315" s="324" t="s">
        <v>60</v>
      </c>
      <c r="D315" s="325" t="s">
        <v>183</v>
      </c>
      <c r="E315" s="345">
        <v>0.5</v>
      </c>
      <c r="F315" s="105"/>
      <c r="G315" s="136">
        <f t="shared" si="24"/>
        <v>0</v>
      </c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2.75" customHeight="1">
      <c r="A316" s="132">
        <v>20.22</v>
      </c>
      <c r="B316" s="133">
        <v>99803</v>
      </c>
      <c r="C316" s="133" t="s">
        <v>82</v>
      </c>
      <c r="D316" s="134" t="s">
        <v>186</v>
      </c>
      <c r="E316" s="135">
        <v>10</v>
      </c>
      <c r="F316" s="105"/>
      <c r="G316" s="136">
        <f t="shared" si="24"/>
        <v>0</v>
      </c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2.75" customHeight="1">
      <c r="A317" s="265"/>
      <c r="B317" s="185"/>
      <c r="C317" s="265"/>
      <c r="D317" s="709" t="s">
        <v>84</v>
      </c>
      <c r="E317" s="703"/>
      <c r="F317" s="704"/>
      <c r="G317" s="266">
        <f>SUM(G295:G316)</f>
        <v>0</v>
      </c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2.75" customHeight="1">
      <c r="A318" s="95">
        <v>21</v>
      </c>
      <c r="B318" s="696" t="s">
        <v>464</v>
      </c>
      <c r="C318" s="682"/>
      <c r="D318" s="682"/>
      <c r="E318" s="682"/>
      <c r="F318" s="682"/>
      <c r="G318" s="683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5.5" customHeight="1">
      <c r="A319" s="128">
        <v>21.1</v>
      </c>
      <c r="B319" s="124">
        <v>97629</v>
      </c>
      <c r="C319" s="124" t="s">
        <v>82</v>
      </c>
      <c r="D319" s="343" t="s">
        <v>355</v>
      </c>
      <c r="E319" s="129">
        <v>1.4</v>
      </c>
      <c r="F319" s="105"/>
      <c r="G319" s="105">
        <f t="shared" ref="G319:G329" si="26">F319*E319</f>
        <v>0</v>
      </c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38.25" customHeight="1">
      <c r="A320" s="128">
        <v>21.2</v>
      </c>
      <c r="B320" s="97">
        <v>94995</v>
      </c>
      <c r="C320" s="97" t="s">
        <v>60</v>
      </c>
      <c r="D320" s="103" t="s">
        <v>465</v>
      </c>
      <c r="E320" s="129">
        <v>3.5</v>
      </c>
      <c r="F320" s="105"/>
      <c r="G320" s="105">
        <f t="shared" si="26"/>
        <v>0</v>
      </c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5.5" customHeight="1">
      <c r="A321" s="128">
        <v>21.3</v>
      </c>
      <c r="B321" s="97">
        <v>98673</v>
      </c>
      <c r="C321" s="124" t="s">
        <v>60</v>
      </c>
      <c r="D321" s="103" t="s">
        <v>468</v>
      </c>
      <c r="E321" s="125">
        <v>4.9000000000000004</v>
      </c>
      <c r="F321" s="105"/>
      <c r="G321" s="105">
        <f t="shared" si="26"/>
        <v>0</v>
      </c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2.75" customHeight="1">
      <c r="A322" s="128">
        <v>21.4</v>
      </c>
      <c r="B322" s="97">
        <v>84162</v>
      </c>
      <c r="C322" s="124" t="s">
        <v>70</v>
      </c>
      <c r="D322" s="103" t="s">
        <v>469</v>
      </c>
      <c r="E322" s="125">
        <v>7.9</v>
      </c>
      <c r="F322" s="105"/>
      <c r="G322" s="105">
        <f t="shared" si="26"/>
        <v>0</v>
      </c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5.5" customHeight="1">
      <c r="A323" s="128">
        <v>21.5</v>
      </c>
      <c r="B323" s="97" t="s">
        <v>141</v>
      </c>
      <c r="C323" s="124" t="s">
        <v>45</v>
      </c>
      <c r="D323" s="103" t="str">
        <f>'Composição de Custos '!D33</f>
        <v>INSTALAÇÃO DE FAIXA DE SINALIZAÇÃO VISUAL FOTOLUMINESCENTE DE DEGRAUS COMP. 7 CM X LARG. 3.5CM.</v>
      </c>
      <c r="E323" s="125">
        <v>10</v>
      </c>
      <c r="F323" s="123"/>
      <c r="G323" s="105">
        <f t="shared" si="26"/>
        <v>0</v>
      </c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2.75" customHeight="1">
      <c r="A324" s="128">
        <v>21.6</v>
      </c>
      <c r="B324" s="97" t="s">
        <v>247</v>
      </c>
      <c r="C324" s="124" t="s">
        <v>45</v>
      </c>
      <c r="D324" s="103" t="str">
        <f>'Composição de Custos '!D145</f>
        <v>INSTALAÇÃO DE FAIXA ANTIDERRAPANTE DE DEGRAUS (ROLO COM 5M)</v>
      </c>
      <c r="E324" s="190">
        <v>5</v>
      </c>
      <c r="F324" s="190"/>
      <c r="G324" s="105">
        <f t="shared" si="26"/>
        <v>0</v>
      </c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38.25" customHeight="1">
      <c r="A325" s="128">
        <v>21.7</v>
      </c>
      <c r="B325" s="97" t="s">
        <v>105</v>
      </c>
      <c r="C325" s="124" t="s">
        <v>70</v>
      </c>
      <c r="D325" s="103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325" s="123">
        <v>3.6</v>
      </c>
      <c r="F325" s="123"/>
      <c r="G325" s="105">
        <f t="shared" si="26"/>
        <v>0</v>
      </c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5.5" customHeight="1">
      <c r="A326" s="128">
        <v>21.8</v>
      </c>
      <c r="B326" s="97" t="s">
        <v>136</v>
      </c>
      <c r="C326" s="124" t="s">
        <v>45</v>
      </c>
      <c r="D326" s="103" t="str">
        <f>'Composição de Custos '!D27</f>
        <v>SINALIZAÇÃO EM BRAILE EM ALUMÍNIO AUTO ADESIVO (100X30) MM COM ESP. 0,25MM - INDICA O PAVIMENTO</v>
      </c>
      <c r="E326" s="125">
        <v>4</v>
      </c>
      <c r="F326" s="105"/>
      <c r="G326" s="105">
        <f t="shared" si="26"/>
        <v>0</v>
      </c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2.75" customHeight="1">
      <c r="A327" s="128">
        <v>21.9</v>
      </c>
      <c r="B327" s="97">
        <v>72897</v>
      </c>
      <c r="C327" s="211" t="s">
        <v>82</v>
      </c>
      <c r="D327" s="213" t="s">
        <v>83</v>
      </c>
      <c r="E327" s="216">
        <v>1</v>
      </c>
      <c r="F327" s="105"/>
      <c r="G327" s="105">
        <f t="shared" si="26"/>
        <v>0</v>
      </c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2.75" customHeight="1">
      <c r="A328" s="368">
        <v>21.1</v>
      </c>
      <c r="B328" s="97">
        <v>92537</v>
      </c>
      <c r="C328" s="124" t="s">
        <v>60</v>
      </c>
      <c r="D328" s="343" t="s">
        <v>441</v>
      </c>
      <c r="E328" s="129">
        <v>2</v>
      </c>
      <c r="F328" s="105"/>
      <c r="G328" s="129">
        <f t="shared" si="26"/>
        <v>0</v>
      </c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2.75" customHeight="1">
      <c r="A329" s="179">
        <v>21.11</v>
      </c>
      <c r="B329" s="133">
        <v>99803</v>
      </c>
      <c r="C329" s="133" t="s">
        <v>82</v>
      </c>
      <c r="D329" s="134" t="s">
        <v>186</v>
      </c>
      <c r="E329" s="135">
        <v>8</v>
      </c>
      <c r="F329" s="135"/>
      <c r="G329" s="136">
        <f t="shared" si="26"/>
        <v>0</v>
      </c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" customHeight="1">
      <c r="A330" s="264"/>
      <c r="B330" s="185"/>
      <c r="C330" s="265"/>
      <c r="D330" s="709" t="s">
        <v>84</v>
      </c>
      <c r="E330" s="703"/>
      <c r="F330" s="704"/>
      <c r="G330" s="266">
        <f>SUM(G319:G329)</f>
        <v>0</v>
      </c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25" customHeight="1">
      <c r="A331" s="95">
        <v>22</v>
      </c>
      <c r="B331" s="696" t="s">
        <v>473</v>
      </c>
      <c r="C331" s="682"/>
      <c r="D331" s="682"/>
      <c r="E331" s="682"/>
      <c r="F331" s="682"/>
      <c r="G331" s="683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>
      <c r="A332" s="132">
        <v>22.1</v>
      </c>
      <c r="B332" s="97" t="s">
        <v>450</v>
      </c>
      <c r="C332" s="124" t="s">
        <v>60</v>
      </c>
      <c r="D332" s="103" t="str">
        <f>'Composição de Custos '!D446</f>
        <v>RETIRADA DE CARPETE (COM REAPROVEITAMENTO)</v>
      </c>
      <c r="E332" s="125">
        <v>30</v>
      </c>
      <c r="F332" s="125"/>
      <c r="G332" s="105">
        <f t="shared" ref="G332:G344" si="27">F332*E332</f>
        <v>0</v>
      </c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31.5" customHeight="1">
      <c r="A333" s="128">
        <v>22.2</v>
      </c>
      <c r="B333" s="124">
        <v>98679</v>
      </c>
      <c r="C333" s="124" t="s">
        <v>60</v>
      </c>
      <c r="D333" s="293" t="s">
        <v>475</v>
      </c>
      <c r="E333" s="125">
        <v>4.8</v>
      </c>
      <c r="F333" s="105"/>
      <c r="G333" s="105">
        <f t="shared" si="27"/>
        <v>0</v>
      </c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5.5" customHeight="1">
      <c r="A334" s="128">
        <v>22.3</v>
      </c>
      <c r="B334" s="97">
        <v>84665</v>
      </c>
      <c r="C334" s="97" t="s">
        <v>60</v>
      </c>
      <c r="D334" s="193" t="s">
        <v>298</v>
      </c>
      <c r="E334" s="190">
        <v>1</v>
      </c>
      <c r="F334" s="105"/>
      <c r="G334" s="105">
        <f t="shared" si="27"/>
        <v>0</v>
      </c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30.75" customHeight="1">
      <c r="A335" s="128">
        <v>22.4</v>
      </c>
      <c r="B335" s="97">
        <v>84665</v>
      </c>
      <c r="C335" s="97" t="s">
        <v>60</v>
      </c>
      <c r="D335" s="193" t="s">
        <v>299</v>
      </c>
      <c r="E335" s="190">
        <v>3.8</v>
      </c>
      <c r="F335" s="105"/>
      <c r="G335" s="105">
        <f t="shared" si="27"/>
        <v>0</v>
      </c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5.5" customHeight="1">
      <c r="A336" s="128">
        <v>22.5</v>
      </c>
      <c r="B336" s="97">
        <v>84665</v>
      </c>
      <c r="C336" s="124" t="s">
        <v>60</v>
      </c>
      <c r="D336" s="103" t="s">
        <v>361</v>
      </c>
      <c r="E336" s="129">
        <v>1.2</v>
      </c>
      <c r="F336" s="105"/>
      <c r="G336" s="105">
        <f t="shared" si="27"/>
        <v>0</v>
      </c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2.75" customHeight="1">
      <c r="A337" s="128">
        <v>22.6</v>
      </c>
      <c r="B337" s="284" t="s">
        <v>453</v>
      </c>
      <c r="C337" s="124" t="s">
        <v>45</v>
      </c>
      <c r="D337" s="285" t="str">
        <f>'Composição de Custos '!D458</f>
        <v xml:space="preserve">READEQUAÇÃO DE LOCAIS POLTRONAS </v>
      </c>
      <c r="E337" s="216">
        <v>13</v>
      </c>
      <c r="F337" s="216"/>
      <c r="G337" s="256">
        <f t="shared" si="27"/>
        <v>0</v>
      </c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3.25" customHeight="1">
      <c r="A338" s="132">
        <v>22.7</v>
      </c>
      <c r="B338" s="377" t="s">
        <v>439</v>
      </c>
      <c r="C338" s="378" t="s">
        <v>45</v>
      </c>
      <c r="D338" s="379" t="str">
        <f>'Composição de Custos '!D422</f>
        <v>CONSTRUÇÃO DE BLOCO EM CONCRETO SIMPLES, 40X70X30 CM, SEM ARMADURA, REVESTIDO COM PINTURA EPOXI - ESPAÇO PARA CÃO GUIA</v>
      </c>
      <c r="E338" s="345">
        <v>1</v>
      </c>
      <c r="F338" s="345"/>
      <c r="G338" s="380">
        <f t="shared" si="27"/>
        <v>0</v>
      </c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2.75" customHeight="1">
      <c r="A339" s="128">
        <v>22.8</v>
      </c>
      <c r="B339" s="97" t="s">
        <v>470</v>
      </c>
      <c r="C339" s="124" t="s">
        <v>45</v>
      </c>
      <c r="D339" s="103" t="s">
        <v>133</v>
      </c>
      <c r="E339" s="125">
        <v>19</v>
      </c>
      <c r="F339" s="125"/>
      <c r="G339" s="105">
        <f t="shared" si="27"/>
        <v>0</v>
      </c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2.75" customHeight="1">
      <c r="A340" s="128">
        <v>22.9</v>
      </c>
      <c r="B340" s="97">
        <v>72897</v>
      </c>
      <c r="C340" s="124" t="s">
        <v>82</v>
      </c>
      <c r="D340" s="103" t="s">
        <v>83</v>
      </c>
      <c r="E340" s="125">
        <v>0.5</v>
      </c>
      <c r="F340" s="105"/>
      <c r="G340" s="105">
        <f t="shared" si="27"/>
        <v>0</v>
      </c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2.75" customHeight="1">
      <c r="A341" s="179">
        <v>22.1</v>
      </c>
      <c r="B341" s="133">
        <v>10710</v>
      </c>
      <c r="C341" s="133" t="s">
        <v>60</v>
      </c>
      <c r="D341" s="134" t="s">
        <v>480</v>
      </c>
      <c r="E341" s="135">
        <v>28</v>
      </c>
      <c r="F341" s="135"/>
      <c r="G341" s="136">
        <f t="shared" si="27"/>
        <v>0</v>
      </c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31.5" customHeight="1">
      <c r="A342" s="132">
        <v>22.11</v>
      </c>
      <c r="B342" s="133" t="s">
        <v>153</v>
      </c>
      <c r="C342" s="133" t="s">
        <v>60</v>
      </c>
      <c r="D342" s="134" t="s">
        <v>163</v>
      </c>
      <c r="E342" s="136">
        <v>1.99</v>
      </c>
      <c r="F342" s="136"/>
      <c r="G342" s="136">
        <f t="shared" si="27"/>
        <v>0</v>
      </c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31.5" customHeight="1">
      <c r="A343" s="132">
        <v>22.12</v>
      </c>
      <c r="B343" s="133">
        <v>98673</v>
      </c>
      <c r="C343" s="133" t="s">
        <v>82</v>
      </c>
      <c r="D343" s="134" t="s">
        <v>482</v>
      </c>
      <c r="E343" s="135">
        <v>1</v>
      </c>
      <c r="F343" s="168"/>
      <c r="G343" s="136">
        <f t="shared" si="27"/>
        <v>0</v>
      </c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2.75" customHeight="1">
      <c r="A344" s="132">
        <v>22.13</v>
      </c>
      <c r="B344" s="133">
        <v>99814</v>
      </c>
      <c r="C344" s="133" t="s">
        <v>60</v>
      </c>
      <c r="D344" s="132" t="s">
        <v>104</v>
      </c>
      <c r="E344" s="135">
        <v>100</v>
      </c>
      <c r="F344" s="135"/>
      <c r="G344" s="136">
        <f t="shared" si="27"/>
        <v>0</v>
      </c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2.75" customHeight="1">
      <c r="A345" s="264"/>
      <c r="B345" s="184"/>
      <c r="C345" s="264"/>
      <c r="D345" s="733" t="s">
        <v>84</v>
      </c>
      <c r="E345" s="721"/>
      <c r="F345" s="728"/>
      <c r="G345" s="350">
        <f>SUM(G332:G344)</f>
        <v>0</v>
      </c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" customHeight="1">
      <c r="A346" s="95">
        <v>23</v>
      </c>
      <c r="B346" s="696" t="s">
        <v>485</v>
      </c>
      <c r="C346" s="682"/>
      <c r="D346" s="682"/>
      <c r="E346" s="682"/>
      <c r="F346" s="682"/>
      <c r="G346" s="683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>
      <c r="A347" s="128">
        <v>23.1</v>
      </c>
      <c r="B347" s="97" t="s">
        <v>450</v>
      </c>
      <c r="C347" s="124" t="s">
        <v>60</v>
      </c>
      <c r="D347" s="103" t="str">
        <f>'Composição de Custos '!D446</f>
        <v>RETIRADA DE CARPETE (COM REAPROVEITAMENTO)</v>
      </c>
      <c r="E347" s="125">
        <v>14</v>
      </c>
      <c r="F347" s="125"/>
      <c r="G347" s="105">
        <f t="shared" ref="G347:G356" si="28">F347*E347</f>
        <v>0</v>
      </c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7.75" customHeight="1">
      <c r="A348" s="128">
        <v>23.2</v>
      </c>
      <c r="B348" s="124">
        <v>97629</v>
      </c>
      <c r="C348" s="124" t="s">
        <v>82</v>
      </c>
      <c r="D348" s="343" t="s">
        <v>355</v>
      </c>
      <c r="E348" s="125">
        <v>0.94</v>
      </c>
      <c r="F348" s="135"/>
      <c r="G348" s="105">
        <f t="shared" si="28"/>
        <v>0</v>
      </c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39.75" customHeight="1">
      <c r="A349" s="128">
        <v>23.3</v>
      </c>
      <c r="B349" s="124">
        <v>92537</v>
      </c>
      <c r="C349" s="124" t="s">
        <v>60</v>
      </c>
      <c r="D349" s="343" t="s">
        <v>441</v>
      </c>
      <c r="E349" s="125">
        <v>2</v>
      </c>
      <c r="F349" s="135"/>
      <c r="G349" s="105">
        <f t="shared" si="28"/>
        <v>0</v>
      </c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38.25" customHeight="1">
      <c r="A350" s="128">
        <v>23.4</v>
      </c>
      <c r="B350" s="97">
        <v>94995</v>
      </c>
      <c r="C350" s="97" t="s">
        <v>60</v>
      </c>
      <c r="D350" s="103" t="s">
        <v>465</v>
      </c>
      <c r="E350" s="125">
        <v>2.95</v>
      </c>
      <c r="F350" s="135"/>
      <c r="G350" s="105">
        <f t="shared" si="28"/>
        <v>0</v>
      </c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38.25" customHeight="1">
      <c r="A351" s="128">
        <v>23.5</v>
      </c>
      <c r="B351" s="97" t="s">
        <v>105</v>
      </c>
      <c r="C351" s="124" t="s">
        <v>70</v>
      </c>
      <c r="D351" s="103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351" s="125">
        <v>2.39</v>
      </c>
      <c r="F351" s="123"/>
      <c r="G351" s="105">
        <f t="shared" si="28"/>
        <v>0</v>
      </c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5.5" customHeight="1">
      <c r="A352" s="128">
        <v>23.6</v>
      </c>
      <c r="B352" s="97" t="s">
        <v>136</v>
      </c>
      <c r="C352" s="124" t="s">
        <v>45</v>
      </c>
      <c r="D352" s="103" t="str">
        <f>'Composição de Custos '!D27</f>
        <v>SINALIZAÇÃO EM BRAILE EM ALUMÍNIO AUTO ADESIVO (100X30) MM COM ESP. 0,25MM - INDICA O PAVIMENTO</v>
      </c>
      <c r="E352" s="125">
        <v>2</v>
      </c>
      <c r="F352" s="125"/>
      <c r="G352" s="105">
        <f t="shared" si="28"/>
        <v>0</v>
      </c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" customHeight="1">
      <c r="A353" s="128">
        <v>23.7</v>
      </c>
      <c r="B353" s="97" t="s">
        <v>145</v>
      </c>
      <c r="C353" s="124" t="s">
        <v>45</v>
      </c>
      <c r="D353" s="103" t="str">
        <f>'Composição de Custos '!D38</f>
        <v>INSTALAÇÃO DE FAIXA DE SINALIZAÇÃO VISUAL DE DEGRAUS COM PARAFUSO</v>
      </c>
      <c r="E353" s="125">
        <v>8</v>
      </c>
      <c r="F353" s="123"/>
      <c r="G353" s="105">
        <f t="shared" si="28"/>
        <v>0</v>
      </c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2.75" customHeight="1">
      <c r="A354" s="128">
        <v>23.8</v>
      </c>
      <c r="B354" s="97">
        <v>72897</v>
      </c>
      <c r="C354" s="211" t="s">
        <v>82</v>
      </c>
      <c r="D354" s="213" t="s">
        <v>83</v>
      </c>
      <c r="E354" s="216">
        <v>1</v>
      </c>
      <c r="F354" s="135"/>
      <c r="G354" s="105">
        <f t="shared" si="28"/>
        <v>0</v>
      </c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2.75" customHeight="1">
      <c r="A355" s="132">
        <v>23.9</v>
      </c>
      <c r="B355" s="133">
        <v>10710</v>
      </c>
      <c r="C355" s="324" t="s">
        <v>60</v>
      </c>
      <c r="D355" s="325" t="s">
        <v>480</v>
      </c>
      <c r="E355" s="345">
        <v>2</v>
      </c>
      <c r="F355" s="345"/>
      <c r="G355" s="136">
        <f t="shared" si="28"/>
        <v>0</v>
      </c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2.75" customHeight="1">
      <c r="A356" s="179">
        <v>23.1</v>
      </c>
      <c r="B356" s="133">
        <v>99803</v>
      </c>
      <c r="C356" s="133" t="s">
        <v>82</v>
      </c>
      <c r="D356" s="134" t="s">
        <v>186</v>
      </c>
      <c r="E356" s="135">
        <v>10</v>
      </c>
      <c r="F356" s="135"/>
      <c r="G356" s="136">
        <f t="shared" si="28"/>
        <v>0</v>
      </c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" customHeight="1">
      <c r="A357" s="185"/>
      <c r="B357" s="185"/>
      <c r="C357" s="185"/>
      <c r="D357" s="702" t="s">
        <v>84</v>
      </c>
      <c r="E357" s="703"/>
      <c r="F357" s="704"/>
      <c r="G357" s="230">
        <f>SUM(G347:G356)</f>
        <v>0</v>
      </c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2.75" customHeight="1">
      <c r="A358" s="95">
        <v>24</v>
      </c>
      <c r="B358" s="696" t="s">
        <v>496</v>
      </c>
      <c r="C358" s="682"/>
      <c r="D358" s="682"/>
      <c r="E358" s="682"/>
      <c r="F358" s="682"/>
      <c r="G358" s="683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2.75" customHeight="1">
      <c r="A359" s="387">
        <v>24.1</v>
      </c>
      <c r="B359" s="388" t="s">
        <v>483</v>
      </c>
      <c r="C359" s="211" t="s">
        <v>45</v>
      </c>
      <c r="D359" s="103" t="str">
        <f>'Composição de Custos '!D525</f>
        <v xml:space="preserve">RETIRADA DE BARRA ANTI-PANICO </v>
      </c>
      <c r="E359" s="389">
        <v>9</v>
      </c>
      <c r="F359" s="105"/>
      <c r="G359" s="105">
        <f t="shared" ref="G359:G362" si="29">F359*E359</f>
        <v>0</v>
      </c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5.5" customHeight="1">
      <c r="A360" s="387">
        <v>24.2</v>
      </c>
      <c r="B360" s="388" t="s">
        <v>374</v>
      </c>
      <c r="C360" s="211" t="s">
        <v>45</v>
      </c>
      <c r="D360" s="103" t="str">
        <f>'Composição de Custos '!D345</f>
        <v xml:space="preserve">BARRA ANTIPANICO DUPLA, COM MAÇANETAS PARA PORTA DE VIDRO ADEQUADAAS CONFORME NRB 9050 </v>
      </c>
      <c r="E360" s="389">
        <v>6</v>
      </c>
      <c r="F360" s="105"/>
      <c r="G360" s="105">
        <f t="shared" si="29"/>
        <v>0</v>
      </c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2.75" customHeight="1">
      <c r="A361" s="387">
        <v>24.3</v>
      </c>
      <c r="B361" s="388" t="s">
        <v>486</v>
      </c>
      <c r="C361" s="211" t="s">
        <v>45</v>
      </c>
      <c r="D361" s="103" t="str">
        <f>'Composição de Custos '!D529</f>
        <v xml:space="preserve">MONTAGEM DE BARRAS ANTI-PANICO EM PORTAS </v>
      </c>
      <c r="E361" s="389">
        <v>5</v>
      </c>
      <c r="F361" s="105"/>
      <c r="G361" s="105">
        <f t="shared" si="29"/>
        <v>0</v>
      </c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2.75" customHeight="1">
      <c r="A362" s="137">
        <v>24.4</v>
      </c>
      <c r="B362" s="138" t="s">
        <v>501</v>
      </c>
      <c r="C362" s="138" t="s">
        <v>45</v>
      </c>
      <c r="D362" s="137" t="s">
        <v>502</v>
      </c>
      <c r="E362" s="139">
        <v>4</v>
      </c>
      <c r="F362" s="139"/>
      <c r="G362" s="136">
        <f t="shared" si="29"/>
        <v>0</v>
      </c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2.75" customHeight="1">
      <c r="A363" s="184"/>
      <c r="B363" s="185"/>
      <c r="C363" s="185"/>
      <c r="D363" s="727" t="s">
        <v>84</v>
      </c>
      <c r="E363" s="721"/>
      <c r="F363" s="728"/>
      <c r="G363" s="187">
        <f>SUM(G359:G361)</f>
        <v>0</v>
      </c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>
      <c r="A364" s="95">
        <v>25</v>
      </c>
      <c r="B364" s="696" t="s">
        <v>505</v>
      </c>
      <c r="C364" s="682"/>
      <c r="D364" s="682"/>
      <c r="E364" s="682"/>
      <c r="F364" s="682"/>
      <c r="G364" s="683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8.5" customHeight="1">
      <c r="A365" s="128">
        <v>25.1</v>
      </c>
      <c r="B365" s="97">
        <v>97635</v>
      </c>
      <c r="C365" s="97" t="s">
        <v>60</v>
      </c>
      <c r="D365" s="122" t="s">
        <v>80</v>
      </c>
      <c r="E365" s="129">
        <v>4</v>
      </c>
      <c r="F365" s="135"/>
      <c r="G365" s="189">
        <f t="shared" ref="G365:G400" si="30">F365*E365</f>
        <v>0</v>
      </c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9.25" customHeight="1">
      <c r="A366" s="128">
        <v>25.2</v>
      </c>
      <c r="B366" s="291" t="s">
        <v>507</v>
      </c>
      <c r="C366" s="291" t="s">
        <v>60</v>
      </c>
      <c r="D366" s="391" t="s">
        <v>508</v>
      </c>
      <c r="E366" s="392">
        <v>16</v>
      </c>
      <c r="F366" s="135"/>
      <c r="G366" s="189">
        <f t="shared" si="30"/>
        <v>0</v>
      </c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39" customHeight="1">
      <c r="A367" s="128">
        <v>25.3</v>
      </c>
      <c r="B367" s="291">
        <v>94995</v>
      </c>
      <c r="C367" s="291" t="s">
        <v>60</v>
      </c>
      <c r="D367" s="391" t="s">
        <v>81</v>
      </c>
      <c r="E367" s="392">
        <v>16</v>
      </c>
      <c r="F367" s="135"/>
      <c r="G367" s="189">
        <f t="shared" si="30"/>
        <v>0</v>
      </c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2.75" customHeight="1">
      <c r="A368" s="128">
        <v>25.4</v>
      </c>
      <c r="B368" s="291" t="s">
        <v>118</v>
      </c>
      <c r="C368" s="291" t="s">
        <v>60</v>
      </c>
      <c r="D368" s="391" t="s">
        <v>511</v>
      </c>
      <c r="E368" s="392">
        <v>22.1</v>
      </c>
      <c r="F368" s="135"/>
      <c r="G368" s="189">
        <f t="shared" si="30"/>
        <v>0</v>
      </c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" customHeight="1">
      <c r="A369" s="128">
        <v>25.5</v>
      </c>
      <c r="B369" s="97" t="s">
        <v>408</v>
      </c>
      <c r="C369" s="124" t="s">
        <v>60</v>
      </c>
      <c r="D369" s="103" t="str">
        <f>'Composição de Custos '!D383</f>
        <v>RETIRADA DE GUARDA-CORPO E CORRIMAO</v>
      </c>
      <c r="E369" s="125">
        <f>10.74+9.38</f>
        <v>20.12</v>
      </c>
      <c r="F369" s="125"/>
      <c r="G369" s="105">
        <f t="shared" si="30"/>
        <v>0</v>
      </c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38.25" customHeight="1">
      <c r="A370" s="128">
        <v>25.6</v>
      </c>
      <c r="B370" s="97" t="s">
        <v>512</v>
      </c>
      <c r="C370" s="124" t="s">
        <v>70</v>
      </c>
      <c r="D370" s="103" t="str">
        <f>'Composição de Custos '!D681</f>
        <v>RETIRADA E REINSTALAÇÃO  CORRIMÃO DUPLO EM AÇO GALVANIZADO Ø=3,8CM,  COM ADEQUAÇÕES DE ALTURA PARA 70CM E 92CM,  INCLUSIVE PINTURA</v>
      </c>
      <c r="E370" s="393">
        <v>17.2</v>
      </c>
      <c r="F370" s="394"/>
      <c r="G370" s="189">
        <f t="shared" si="30"/>
        <v>0</v>
      </c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36.75" customHeight="1">
      <c r="A371" s="128">
        <v>25.7</v>
      </c>
      <c r="B371" s="284" t="s">
        <v>411</v>
      </c>
      <c r="C371" s="124" t="s">
        <v>60</v>
      </c>
      <c r="D371" s="285" t="str">
        <f>'Composição de Custos '!D388</f>
        <v>FECHAMENTO LATERAL COM PERFIS DE ALUMINIO, 100x60 MM, E=1,58 MM E CAIXILHOS DE ALUMÍNIO EM PERFIL "U", TODA ESTRUTURA EM ALUMÍNIO ANODIZADO BRANCO</v>
      </c>
      <c r="E371" s="125">
        <v>70.33</v>
      </c>
      <c r="F371" s="135"/>
      <c r="G371" s="105">
        <f t="shared" si="30"/>
        <v>0</v>
      </c>
      <c r="H371" s="79" t="s">
        <v>215</v>
      </c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30" customHeight="1">
      <c r="A372" s="128">
        <v>25.8</v>
      </c>
      <c r="B372" s="97">
        <v>34391</v>
      </c>
      <c r="C372" s="97" t="s">
        <v>60</v>
      </c>
      <c r="D372" s="103" t="s">
        <v>515</v>
      </c>
      <c r="E372" s="395">
        <v>62</v>
      </c>
      <c r="F372" s="135"/>
      <c r="G372" s="105">
        <f t="shared" si="30"/>
        <v>0</v>
      </c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9.25" customHeight="1">
      <c r="A373" s="128">
        <v>25.9</v>
      </c>
      <c r="B373" s="396">
        <v>94231</v>
      </c>
      <c r="C373" s="396" t="s">
        <v>70</v>
      </c>
      <c r="D373" s="397" t="s">
        <v>517</v>
      </c>
      <c r="E373" s="216">
        <v>26</v>
      </c>
      <c r="F373" s="135"/>
      <c r="G373" s="256">
        <f t="shared" si="30"/>
        <v>0</v>
      </c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41.25" customHeight="1">
      <c r="A374" s="368">
        <v>25.1</v>
      </c>
      <c r="B374" s="124" t="str">
        <f>'Composição de Custos '!A398</f>
        <v>C034.1</v>
      </c>
      <c r="C374" s="396" t="s">
        <v>60</v>
      </c>
      <c r="D374" s="397" t="str">
        <f>'Composição de Custos '!D398</f>
        <v>TELHAMENTO COM TELHA TERMOACÚSTICA EM AÇO GALVANIZADO, SEM PINTURA NA FASE SUPERIOR, 0,50MM,ESP. PAINEL=30MM, ISOLAMENTO POLIURETANO = 30MM COM FILME BRANCO NA FACE INFERIOR, ISOCOBERTURA PANISOL OU SIMILAR</v>
      </c>
      <c r="E374" s="125">
        <v>64</v>
      </c>
      <c r="F374" s="135"/>
      <c r="G374" s="105">
        <f t="shared" si="30"/>
        <v>0</v>
      </c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46.5" customHeight="1">
      <c r="A375" s="128">
        <v>25.11</v>
      </c>
      <c r="B375" s="282" t="s">
        <v>455</v>
      </c>
      <c r="C375" s="124" t="s">
        <v>70</v>
      </c>
      <c r="D375" s="103" t="str">
        <f>'Composição de Custos '!D462</f>
        <v>MONTANTE METÁLICO DE SUSTENTAÇÃO DA COBERTURA EM COMPOSTO POR  DOIS PERFIL "U" ENRIJECIDO DE ACO GALVANIZADO, DOBRADO, 150 X 60 X 20 MM, E = 3,00 MM, SOLDADO EM FACE DUPLA</v>
      </c>
      <c r="E375" s="216">
        <f>8*2.65</f>
        <v>21.2</v>
      </c>
      <c r="F375" s="256"/>
      <c r="G375" s="256">
        <f t="shared" si="30"/>
        <v>0</v>
      </c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39.75" customHeight="1">
      <c r="A376" s="128">
        <v>25.12</v>
      </c>
      <c r="B376" s="282" t="str">
        <f>'Composição de Custos '!A468</f>
        <v>C046.1</v>
      </c>
      <c r="C376" s="124" t="s">
        <v>70</v>
      </c>
      <c r="D376" s="103" t="str">
        <f>'Composição de Custos '!D468</f>
        <v>CAIBROS DE TELHAMENTO COMPOSTO POR  DOIS PERFIL  "U" DE ACO LAMINADO, 102 X 9,3, SOLDADO EM FACE DUPLA, FIXADO COM CHUMBADOR PARABOLT, DIAMETRO 1/2"</v>
      </c>
      <c r="E376" s="216">
        <f>(6*2+2*4.7)</f>
        <v>21.4</v>
      </c>
      <c r="F376" s="380"/>
      <c r="G376" s="256">
        <f t="shared" si="30"/>
        <v>0</v>
      </c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32.25" customHeight="1">
      <c r="A377" s="128">
        <v>25.13</v>
      </c>
      <c r="B377" s="282" t="str">
        <f>'Composição de Custos '!A475</f>
        <v>C046.2</v>
      </c>
      <c r="C377" s="124" t="s">
        <v>70</v>
      </c>
      <c r="D377" s="103" t="str">
        <f>'Composição de Custos '!D475</f>
        <v>TERÇA PARA TELHAMENTO COMPOSTO POR   PERFIL  "U" DE ACO LAMINADO, 102 X 9,3</v>
      </c>
      <c r="E377" s="216">
        <f>24.6*2+4.5</f>
        <v>53.7</v>
      </c>
      <c r="F377" s="380"/>
      <c r="G377" s="256">
        <f t="shared" si="30"/>
        <v>0</v>
      </c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5.5" customHeight="1">
      <c r="A378" s="128">
        <v>25.14</v>
      </c>
      <c r="B378" s="97" t="s">
        <v>161</v>
      </c>
      <c r="C378" s="124" t="s">
        <v>60</v>
      </c>
      <c r="D378" s="103" t="str">
        <f>'Composição de Custos '!D52</f>
        <v>INSTALAÇÃO DE LADRILHO HIDRAULICO TÁTIIL DIRECIONAL OU ALERTA 25X25 COR AMARELA  (ÁREA EXTERNA), INCLUSIVE EXECUÇÃO DE RASGOS NO PISO EXISTENTE PARA ENCAIXE DAS PEÇAS.</v>
      </c>
      <c r="E378" s="125">
        <f>12*(0.25*0.25)</f>
        <v>0.75</v>
      </c>
      <c r="F378" s="136"/>
      <c r="G378" s="105">
        <f t="shared" si="30"/>
        <v>0</v>
      </c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5.5" customHeight="1">
      <c r="A379" s="128">
        <v>25.15</v>
      </c>
      <c r="B379" s="97" t="s">
        <v>136</v>
      </c>
      <c r="C379" s="124" t="s">
        <v>45</v>
      </c>
      <c r="D379" s="103" t="str">
        <f>'Composição de Custos '!D27</f>
        <v>SINALIZAÇÃO EM BRAILE EM ALUMÍNIO AUTO ADESIVO (100X30) MM COM ESP. 0,25MM - INDICA O PAVIMENTO</v>
      </c>
      <c r="E379" s="125">
        <v>4</v>
      </c>
      <c r="F379" s="105"/>
      <c r="G379" s="105">
        <f t="shared" si="30"/>
        <v>0</v>
      </c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2.75" customHeight="1">
      <c r="A380" s="128">
        <v>25.16</v>
      </c>
      <c r="B380" s="282" t="s">
        <v>466</v>
      </c>
      <c r="C380" s="124" t="s">
        <v>522</v>
      </c>
      <c r="D380" s="103" t="str">
        <f>'Composição de Custos '!D482</f>
        <v>PELICULA  BLOQUEIO SOLAR 3M SÉRIE AFFINITY OU SIMILAR</v>
      </c>
      <c r="E380" s="125">
        <v>63</v>
      </c>
      <c r="F380" s="105"/>
      <c r="G380" s="105">
        <f t="shared" si="30"/>
        <v>0</v>
      </c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2.75" customHeight="1">
      <c r="A381" s="128">
        <v>25.17</v>
      </c>
      <c r="B381" s="97">
        <v>72897</v>
      </c>
      <c r="C381" s="124" t="s">
        <v>82</v>
      </c>
      <c r="D381" s="103" t="s">
        <v>83</v>
      </c>
      <c r="E381" s="125">
        <v>4.5</v>
      </c>
      <c r="F381" s="135"/>
      <c r="G381" s="105">
        <f t="shared" si="30"/>
        <v>0</v>
      </c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6.25" customHeight="1">
      <c r="A382" s="128">
        <v>25.18</v>
      </c>
      <c r="B382" s="97" t="str">
        <f>'Composição de Custos '!A929</f>
        <v>C085</v>
      </c>
      <c r="C382" s="133" t="s">
        <v>70</v>
      </c>
      <c r="D382" s="134" t="str">
        <f>'Composição de Custos '!D929</f>
        <v>CALHA EM CHAPA DE AÇO GALVANIZADO NÚMERO 26, DESENVOLVIMENTO DE 45CM</v>
      </c>
      <c r="E382" s="135">
        <v>25</v>
      </c>
      <c r="F382" s="135"/>
      <c r="G382" s="136">
        <f t="shared" si="30"/>
        <v>0</v>
      </c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2.75" customHeight="1">
      <c r="A383" s="128">
        <v>25.19</v>
      </c>
      <c r="B383" s="399">
        <v>89578</v>
      </c>
      <c r="C383" s="401" t="s">
        <v>70</v>
      </c>
      <c r="D383" s="402" t="s">
        <v>525</v>
      </c>
      <c r="E383" s="403">
        <v>6</v>
      </c>
      <c r="F383" s="403"/>
      <c r="G383" s="136">
        <f t="shared" si="30"/>
        <v>0</v>
      </c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2.75" customHeight="1">
      <c r="A384" s="368">
        <v>25.2</v>
      </c>
      <c r="B384" s="133" t="s">
        <v>147</v>
      </c>
      <c r="C384" s="133" t="s">
        <v>60</v>
      </c>
      <c r="D384" s="137" t="s">
        <v>526</v>
      </c>
      <c r="E384" s="135">
        <v>38</v>
      </c>
      <c r="F384" s="135"/>
      <c r="G384" s="136">
        <f t="shared" si="30"/>
        <v>0</v>
      </c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2.75" customHeight="1">
      <c r="A385" s="128">
        <v>25.21</v>
      </c>
      <c r="B385" s="133">
        <v>97622</v>
      </c>
      <c r="C385" s="133" t="s">
        <v>82</v>
      </c>
      <c r="D385" s="134" t="s">
        <v>347</v>
      </c>
      <c r="E385" s="135">
        <v>1</v>
      </c>
      <c r="F385" s="135"/>
      <c r="G385" s="136">
        <f t="shared" si="30"/>
        <v>0</v>
      </c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33" customHeight="1">
      <c r="A386" s="368">
        <v>25.22</v>
      </c>
      <c r="B386" s="133">
        <v>97629</v>
      </c>
      <c r="C386" s="133" t="s">
        <v>82</v>
      </c>
      <c r="D386" s="134" t="s">
        <v>355</v>
      </c>
      <c r="E386" s="135">
        <v>1.4</v>
      </c>
      <c r="F386" s="168"/>
      <c r="G386" s="136">
        <f t="shared" si="30"/>
        <v>0</v>
      </c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39" customHeight="1">
      <c r="A387" s="128">
        <v>25.23</v>
      </c>
      <c r="B387" s="133">
        <v>96536</v>
      </c>
      <c r="C387" s="133" t="s">
        <v>60</v>
      </c>
      <c r="D387" s="134" t="s">
        <v>376</v>
      </c>
      <c r="E387" s="135">
        <f>(0.4*29.36)</f>
        <v>11.744</v>
      </c>
      <c r="F387" s="168"/>
      <c r="G387" s="136">
        <f t="shared" si="30"/>
        <v>0</v>
      </c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3" customHeight="1">
      <c r="A388" s="128">
        <v>25.24</v>
      </c>
      <c r="B388" s="133">
        <v>97082</v>
      </c>
      <c r="C388" s="133" t="s">
        <v>82</v>
      </c>
      <c r="D388" s="134" t="s">
        <v>529</v>
      </c>
      <c r="E388" s="135">
        <v>2.29</v>
      </c>
      <c r="F388" s="168"/>
      <c r="G388" s="136">
        <f t="shared" si="30"/>
        <v>0</v>
      </c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33" customHeight="1">
      <c r="A389" s="128">
        <v>25.25</v>
      </c>
      <c r="B389" s="133">
        <v>96555</v>
      </c>
      <c r="C389" s="133" t="s">
        <v>82</v>
      </c>
      <c r="D389" s="134" t="s">
        <v>530</v>
      </c>
      <c r="E389" s="135">
        <f>((8*(0.4*0.4*0.6))+(11.74*0.15))</f>
        <v>2.5289999999999999</v>
      </c>
      <c r="F389" s="168"/>
      <c r="G389" s="136">
        <f t="shared" si="30"/>
        <v>0</v>
      </c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3" customHeight="1">
      <c r="A390" s="128">
        <v>25.26</v>
      </c>
      <c r="B390" s="133">
        <v>92792</v>
      </c>
      <c r="C390" s="133" t="s">
        <v>121</v>
      </c>
      <c r="D390" s="134" t="s">
        <v>532</v>
      </c>
      <c r="E390" s="135">
        <v>70.39</v>
      </c>
      <c r="F390" s="168"/>
      <c r="G390" s="136">
        <f t="shared" si="30"/>
        <v>0</v>
      </c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33" customHeight="1">
      <c r="A391" s="128">
        <v>25.27</v>
      </c>
      <c r="B391" s="133">
        <v>92793</v>
      </c>
      <c r="C391" s="133" t="s">
        <v>121</v>
      </c>
      <c r="D391" s="134" t="s">
        <v>533</v>
      </c>
      <c r="E391" s="135">
        <v>27.39</v>
      </c>
      <c r="F391" s="168"/>
      <c r="G391" s="136">
        <f t="shared" si="30"/>
        <v>0</v>
      </c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33" customHeight="1">
      <c r="A392" s="128">
        <v>25.28</v>
      </c>
      <c r="B392" s="133">
        <v>92794</v>
      </c>
      <c r="C392" s="133" t="s">
        <v>121</v>
      </c>
      <c r="D392" s="134" t="s">
        <v>534</v>
      </c>
      <c r="E392" s="135">
        <v>34.65</v>
      </c>
      <c r="F392" s="168"/>
      <c r="G392" s="136">
        <f t="shared" si="30"/>
        <v>0</v>
      </c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33" customHeight="1">
      <c r="A393" s="368">
        <v>25.29</v>
      </c>
      <c r="B393" s="133" t="s">
        <v>535</v>
      </c>
      <c r="C393" s="133" t="s">
        <v>121</v>
      </c>
      <c r="D393" s="134" t="s">
        <v>536</v>
      </c>
      <c r="E393" s="135">
        <v>5</v>
      </c>
      <c r="F393" s="168"/>
      <c r="G393" s="136">
        <f t="shared" si="30"/>
        <v>0</v>
      </c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41.25" customHeight="1">
      <c r="A394" s="368">
        <v>25.3</v>
      </c>
      <c r="B394" s="133">
        <v>90883</v>
      </c>
      <c r="C394" s="133" t="s">
        <v>70</v>
      </c>
      <c r="D394" s="134" t="s">
        <v>538</v>
      </c>
      <c r="E394" s="135">
        <f>8*1.5</f>
        <v>12</v>
      </c>
      <c r="F394" s="168"/>
      <c r="G394" s="136">
        <f t="shared" si="30"/>
        <v>0</v>
      </c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2.75" customHeight="1">
      <c r="A395" s="128">
        <v>25.31</v>
      </c>
      <c r="B395" s="133" t="s">
        <v>539</v>
      </c>
      <c r="C395" s="133" t="s">
        <v>60</v>
      </c>
      <c r="D395" s="134" t="s">
        <v>540</v>
      </c>
      <c r="E395" s="135">
        <v>4.2</v>
      </c>
      <c r="F395" s="135"/>
      <c r="G395" s="136">
        <f t="shared" si="30"/>
        <v>0</v>
      </c>
      <c r="H395" s="79" t="s">
        <v>215</v>
      </c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2.75" customHeight="1">
      <c r="A396" s="368">
        <v>25.32</v>
      </c>
      <c r="B396" s="133">
        <v>13279</v>
      </c>
      <c r="C396" s="133" t="s">
        <v>45</v>
      </c>
      <c r="D396" s="134" t="s">
        <v>541</v>
      </c>
      <c r="E396" s="135">
        <v>36</v>
      </c>
      <c r="F396" s="135"/>
      <c r="G396" s="136">
        <f t="shared" si="30"/>
        <v>0</v>
      </c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2.75" customHeight="1">
      <c r="A397" s="128">
        <v>25.33</v>
      </c>
      <c r="B397" s="133">
        <v>83626</v>
      </c>
      <c r="C397" s="133" t="s">
        <v>70</v>
      </c>
      <c r="D397" s="134" t="s">
        <v>542</v>
      </c>
      <c r="E397" s="135">
        <v>1.5</v>
      </c>
      <c r="F397" s="135"/>
      <c r="G397" s="136">
        <f t="shared" si="30"/>
        <v>0</v>
      </c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2.75" customHeight="1">
      <c r="A398" s="128">
        <v>25.34</v>
      </c>
      <c r="B398" s="133">
        <v>84889</v>
      </c>
      <c r="C398" s="133" t="s">
        <v>125</v>
      </c>
      <c r="D398" s="134" t="s">
        <v>544</v>
      </c>
      <c r="E398" s="135">
        <v>2</v>
      </c>
      <c r="F398" s="135"/>
      <c r="G398" s="136">
        <f t="shared" si="30"/>
        <v>0</v>
      </c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30" customHeight="1">
      <c r="A399" s="128">
        <v>25.35</v>
      </c>
      <c r="B399" s="133" t="s">
        <v>147</v>
      </c>
      <c r="C399" s="133" t="s">
        <v>60</v>
      </c>
      <c r="D399" s="134" t="s">
        <v>546</v>
      </c>
      <c r="E399" s="135">
        <v>70.33</v>
      </c>
      <c r="F399" s="135"/>
      <c r="G399" s="136">
        <f t="shared" si="30"/>
        <v>0</v>
      </c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2.75" customHeight="1">
      <c r="A400" s="128">
        <v>25.36</v>
      </c>
      <c r="B400" s="133">
        <v>99814</v>
      </c>
      <c r="C400" s="133" t="s">
        <v>60</v>
      </c>
      <c r="D400" s="132" t="s">
        <v>104</v>
      </c>
      <c r="E400" s="135">
        <v>30</v>
      </c>
      <c r="F400" s="135"/>
      <c r="G400" s="136">
        <f t="shared" si="30"/>
        <v>0</v>
      </c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2.75" customHeight="1">
      <c r="A401" s="417"/>
      <c r="B401" s="417"/>
      <c r="C401" s="417"/>
      <c r="D401" s="729" t="s">
        <v>84</v>
      </c>
      <c r="E401" s="730"/>
      <c r="F401" s="731"/>
      <c r="G401" s="418">
        <f>SUM(G365:G400)</f>
        <v>0</v>
      </c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2.75" customHeight="1">
      <c r="A402" s="359"/>
      <c r="B402" s="360"/>
      <c r="C402" s="360"/>
      <c r="D402" s="361" t="s">
        <v>550</v>
      </c>
      <c r="E402" s="364"/>
      <c r="F402" s="363"/>
      <c r="G402" s="363">
        <f>G401+G363+G357+G345+G330+G317+G293</f>
        <v>0</v>
      </c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2.75" customHeight="1">
      <c r="A403" s="359"/>
      <c r="B403" s="360"/>
      <c r="C403" s="360"/>
      <c r="D403" s="361" t="s">
        <v>76</v>
      </c>
      <c r="E403" s="362">
        <f>BDI!D16/100</f>
        <v>0</v>
      </c>
      <c r="F403" s="363"/>
      <c r="G403" s="363">
        <f>E403*G402</f>
        <v>0</v>
      </c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2.75" customHeight="1">
      <c r="A404" s="359"/>
      <c r="B404" s="360"/>
      <c r="C404" s="360"/>
      <c r="D404" s="361" t="s">
        <v>551</v>
      </c>
      <c r="E404" s="364"/>
      <c r="F404" s="363"/>
      <c r="G404" s="363">
        <f>G402+G403</f>
        <v>0</v>
      </c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8" customHeight="1">
      <c r="A405" s="710" t="s">
        <v>552</v>
      </c>
      <c r="B405" s="711"/>
      <c r="C405" s="711"/>
      <c r="D405" s="711"/>
      <c r="E405" s="711"/>
      <c r="F405" s="711"/>
      <c r="G405" s="712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2.75" customHeight="1">
      <c r="A406" s="95">
        <v>26</v>
      </c>
      <c r="B406" s="696" t="s">
        <v>553</v>
      </c>
      <c r="C406" s="682"/>
      <c r="D406" s="682"/>
      <c r="E406" s="682"/>
      <c r="F406" s="682"/>
      <c r="G406" s="683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6.25" customHeight="1">
      <c r="A407" s="128">
        <v>26.1</v>
      </c>
      <c r="B407" s="97" t="s">
        <v>189</v>
      </c>
      <c r="C407" s="124" t="s">
        <v>45</v>
      </c>
      <c r="D407" s="103" t="str">
        <f>'Composição de Custos '!D79</f>
        <v>SUBSTITUIÇÃO DA PORTA SANITÁRIO ACESSÍVEL COM INSTALAÇÃO DE CHAPA ( 2 lados) E PUXADOR HORIZONTAL( COMPRIMENTO 45CM E DIAM. 3CM)  PORTA DE 90</v>
      </c>
      <c r="E407" s="125">
        <v>1</v>
      </c>
      <c r="F407" s="135"/>
      <c r="G407" s="105">
        <f>F407*E407</f>
        <v>0</v>
      </c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" customHeight="1">
      <c r="A408" s="128">
        <v>26.2</v>
      </c>
      <c r="B408" s="97">
        <v>97622</v>
      </c>
      <c r="C408" s="97" t="s">
        <v>82</v>
      </c>
      <c r="D408" s="103" t="s">
        <v>554</v>
      </c>
      <c r="E408" s="286">
        <f>0.1*2.1*0.15</f>
        <v>3.15E-2</v>
      </c>
      <c r="F408" s="135"/>
      <c r="G408" s="256">
        <f>E408*F408</f>
        <v>0</v>
      </c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" customHeight="1">
      <c r="A409" s="128">
        <v>26.3</v>
      </c>
      <c r="B409" s="97" t="str">
        <f>'Composição de Custos '!A199</f>
        <v>C017</v>
      </c>
      <c r="C409" s="97" t="s">
        <v>45</v>
      </c>
      <c r="D409" s="103" t="str">
        <f>'Composição de Custos '!D199</f>
        <v xml:space="preserve">RETIRADA E ASSENTAMENTO DE SOLEIRA EM GRANITO VERDE UBATUBA, TABEIRA, DEGRAUS E SOLEIRAS, ASSENTADO COM ARGAMASSA AC-III CONFORME PROJETO </v>
      </c>
      <c r="E409" s="286">
        <v>1</v>
      </c>
      <c r="F409" s="135"/>
      <c r="G409" s="256">
        <f t="shared" ref="G409:G428" si="31">F409*E409</f>
        <v>0</v>
      </c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" customHeight="1">
      <c r="A410" s="128">
        <v>26.4</v>
      </c>
      <c r="B410" s="97">
        <v>87274</v>
      </c>
      <c r="C410" s="97" t="s">
        <v>60</v>
      </c>
      <c r="D410" s="103" t="s">
        <v>290</v>
      </c>
      <c r="E410" s="286">
        <f>0.33*1.6</f>
        <v>0.52800000000000002</v>
      </c>
      <c r="F410" s="135"/>
      <c r="G410" s="256">
        <f t="shared" si="31"/>
        <v>0</v>
      </c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" customHeight="1">
      <c r="A411" s="128">
        <v>26.5</v>
      </c>
      <c r="B411" s="133" t="s">
        <v>230</v>
      </c>
      <c r="C411" s="97" t="s">
        <v>45</v>
      </c>
      <c r="D411" s="103" t="str">
        <f>'Composição de Custos '!D279</f>
        <v>PLACA DE SINALIZAÇÃO EM BRAILLE E AUTORELEVO 20 X 40 - ACRILICO COM SIMBOLO INTERNACIONAL DE ACESSO CONFORME PROJETO</v>
      </c>
      <c r="E411" s="125">
        <v>1</v>
      </c>
      <c r="F411" s="125"/>
      <c r="G411" s="105">
        <f t="shared" si="31"/>
        <v>0</v>
      </c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38.25" customHeight="1">
      <c r="A412" s="128">
        <v>26.6</v>
      </c>
      <c r="B412" s="97">
        <v>90830</v>
      </c>
      <c r="C412" s="124" t="s">
        <v>45</v>
      </c>
      <c r="D412" s="103" t="s">
        <v>295</v>
      </c>
      <c r="E412" s="190">
        <v>1</v>
      </c>
      <c r="F412" s="135"/>
      <c r="G412" s="105">
        <f t="shared" si="31"/>
        <v>0</v>
      </c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5.5" customHeight="1">
      <c r="A413" s="128">
        <v>26.7</v>
      </c>
      <c r="B413" s="97" t="s">
        <v>278</v>
      </c>
      <c r="C413" s="97" t="s">
        <v>45</v>
      </c>
      <c r="D413" s="103" t="str">
        <f>'Composição de Custos '!D199</f>
        <v xml:space="preserve">RETIRADA E ASSENTAMENTO DE SOLEIRA EM GRANITO VERDE UBATUBA, TABEIRA, DEGRAUS E SOLEIRAS, ASSENTADO COM ARGAMASSA AC-III CONFORME PROJETO </v>
      </c>
      <c r="E413" s="105">
        <v>1</v>
      </c>
      <c r="F413" s="135"/>
      <c r="G413" s="105">
        <f t="shared" si="31"/>
        <v>0</v>
      </c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38.25" customHeight="1">
      <c r="A414" s="128">
        <v>26.8</v>
      </c>
      <c r="B414" s="97" t="s">
        <v>170</v>
      </c>
      <c r="C414" s="97" t="s">
        <v>45</v>
      </c>
      <c r="D414" s="103" t="str">
        <f>'Composição de Custos '!D60</f>
        <v>ADEQUAÇÃO DA ALTURA DE APARELHOS DE MICTÓRIOS PARA ADEQUAÇÃO DA NORMA DE ACESSIBILIDADE, NBR 9050, INCLUINDO ALTURA DA VALVULA DE ACIONAMENTO</v>
      </c>
      <c r="E414" s="123">
        <v>1</v>
      </c>
      <c r="F414" s="135"/>
      <c r="G414" s="105">
        <f t="shared" si="31"/>
        <v>0</v>
      </c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3.5" customHeight="1">
      <c r="A415" s="128">
        <v>26.9</v>
      </c>
      <c r="B415" s="97" t="s">
        <v>233</v>
      </c>
      <c r="C415" s="97" t="s">
        <v>60</v>
      </c>
      <c r="D415" s="103" t="str">
        <f>'Composição de Custos '!D502</f>
        <v>RETIRADA DE CHAPA DE GRANITO DE BOX DE BANHEIRO COMO REAPROVEITAMENTO</v>
      </c>
      <c r="E415" s="257">
        <v>0.6</v>
      </c>
      <c r="F415" s="135"/>
      <c r="G415" s="105">
        <f t="shared" si="31"/>
        <v>0</v>
      </c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3.5" customHeight="1">
      <c r="A416" s="368">
        <v>26.1</v>
      </c>
      <c r="B416" s="419" t="s">
        <v>395</v>
      </c>
      <c r="C416" s="97" t="s">
        <v>60</v>
      </c>
      <c r="D416" s="103" t="str">
        <f>'Composição de Custos '!D368</f>
        <v>DIVISÓRIA EM GRANITO, COM DUAS FACES POLIDAS, COR CINZA,  PARA INSTALAÇÃO EM BOXES DE BANHEIRO</v>
      </c>
      <c r="E416" s="257">
        <f>1.2*0.3*2</f>
        <v>0.72</v>
      </c>
      <c r="F416" s="135"/>
      <c r="G416" s="105">
        <f t="shared" si="31"/>
        <v>0</v>
      </c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5.5" customHeight="1">
      <c r="A417" s="128">
        <v>26.11</v>
      </c>
      <c r="B417" s="97" t="s">
        <v>184</v>
      </c>
      <c r="C417" s="97" t="s">
        <v>45</v>
      </c>
      <c r="D417" s="103" t="str">
        <f>'Composição de Custos '!D72</f>
        <v xml:space="preserve">BARRA DE APOIO EM TUBO DE AÇO INOXIDÁVEL OU ALUMÍNIO, COM 70 CM, DIAM. 30 À 45 MM, FIXAÇÃO VERTICAL OU HORIZONTAL  </v>
      </c>
      <c r="E417" s="123">
        <v>3</v>
      </c>
      <c r="F417" s="135"/>
      <c r="G417" s="105">
        <f t="shared" si="31"/>
        <v>0</v>
      </c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7.75" customHeight="1">
      <c r="A418" s="128">
        <v>26.12</v>
      </c>
      <c r="B418" s="97" t="str">
        <f>'Composição de Custos '!A258</f>
        <v>C021.5</v>
      </c>
      <c r="C418" s="97" t="s">
        <v>45</v>
      </c>
      <c r="D418" s="103" t="str">
        <f>'Composição de Custos '!D258</f>
        <v>INVERTER ABERTURA DA PORTA E INSTALAR PUXADOR HORIZONTAL E TARJETA LIVRE/OCUPADO</v>
      </c>
      <c r="E418" s="123">
        <v>1</v>
      </c>
      <c r="F418" s="135"/>
      <c r="G418" s="105">
        <f t="shared" si="31"/>
        <v>0</v>
      </c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2.75" customHeight="1">
      <c r="A419" s="128">
        <v>26.13</v>
      </c>
      <c r="B419" s="124">
        <v>85005</v>
      </c>
      <c r="C419" s="124" t="s">
        <v>60</v>
      </c>
      <c r="D419" s="103" t="s">
        <v>263</v>
      </c>
      <c r="E419" s="123">
        <v>0.36</v>
      </c>
      <c r="F419" s="135"/>
      <c r="G419" s="105">
        <f t="shared" si="31"/>
        <v>0</v>
      </c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2.75" customHeight="1">
      <c r="A420" s="128">
        <v>26.14</v>
      </c>
      <c r="B420" s="367" t="s">
        <v>429</v>
      </c>
      <c r="C420" s="367" t="s">
        <v>45</v>
      </c>
      <c r="D420" s="103" t="str">
        <f>'Composição de Custos '!D513</f>
        <v>RETIRADA DE LOUÇAS SANITÁRIAS</v>
      </c>
      <c r="E420" s="190">
        <v>2</v>
      </c>
      <c r="F420" s="135"/>
      <c r="G420" s="105">
        <f t="shared" si="31"/>
        <v>0</v>
      </c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2.75" customHeight="1">
      <c r="A421" s="128">
        <v>26.15</v>
      </c>
      <c r="B421" s="97" t="s">
        <v>246</v>
      </c>
      <c r="C421" s="97" t="s">
        <v>45</v>
      </c>
      <c r="D421" s="261" t="str">
        <f>'Composição de Custos '!D319</f>
        <v>READEQUAÇÃO DE PONTO HIDRAULICO PARA VASO SANITÁRIO</v>
      </c>
      <c r="E421" s="257">
        <v>1</v>
      </c>
      <c r="F421" s="135"/>
      <c r="G421" s="105">
        <f t="shared" si="31"/>
        <v>0</v>
      </c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33.75" customHeight="1">
      <c r="A422" s="128">
        <v>26.16</v>
      </c>
      <c r="B422" s="133" t="s">
        <v>565</v>
      </c>
      <c r="C422" s="124" t="s">
        <v>45</v>
      </c>
      <c r="D422" s="103" t="str">
        <f>'Composição de Custos '!D957</f>
        <v>LAVATÓRIO LOUÇA BRANCA SUSPENSO, 29,5 X 39CM OU EQUIVALENTE, PADRÃO POPULAR - FORNECIMENTO E INSTALAÇÃO. AF_12/2013</v>
      </c>
      <c r="E422" s="123">
        <v>1</v>
      </c>
      <c r="F422" s="135"/>
      <c r="G422" s="105">
        <f t="shared" si="31"/>
        <v>0</v>
      </c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5.5" customHeight="1">
      <c r="A423" s="128">
        <v>26.17</v>
      </c>
      <c r="B423" s="97" t="s">
        <v>202</v>
      </c>
      <c r="C423" s="124" t="s">
        <v>45</v>
      </c>
      <c r="D423" s="103" t="str">
        <f>'Composição de Custos '!D99</f>
        <v>TORNEIRA LAVATORIO PRESSMATIC,  VOLANTE TIPO ALAVANCA, PARA LAVATÓRIO DE P.N.E DOCOL OU SIMILAR</v>
      </c>
      <c r="E423" s="123">
        <v>1</v>
      </c>
      <c r="F423" s="135"/>
      <c r="G423" s="105">
        <f t="shared" si="31"/>
        <v>0</v>
      </c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</row>
    <row r="424" spans="1:26" ht="38.25" customHeight="1">
      <c r="A424" s="128">
        <v>26.18</v>
      </c>
      <c r="B424" s="97" t="s">
        <v>386</v>
      </c>
      <c r="C424" s="124" t="s">
        <v>45</v>
      </c>
      <c r="D424" s="103" t="str">
        <f>'Composição de Custos '!D353</f>
        <v>READEQUAÇÃO DA ALTURA DE APARELHOS SANITÁRIOS   ATRAVÉS DA INSTALAÇÃO DE SÓCULO NA BASE PARA ADEQUAÇÃO DA NORMA DE ACESSIBILIDADE NBR 9050, ITEM 7.3.14</v>
      </c>
      <c r="E424" s="123">
        <v>1</v>
      </c>
      <c r="F424" s="135"/>
      <c r="G424" s="105">
        <f t="shared" si="31"/>
        <v>0</v>
      </c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9.25" customHeight="1">
      <c r="A425" s="128">
        <v>26.19</v>
      </c>
      <c r="B425" s="97" t="s">
        <v>271</v>
      </c>
      <c r="C425" s="124" t="s">
        <v>45</v>
      </c>
      <c r="D425" s="103" t="str">
        <f>'Composição de Custos '!D179</f>
        <v>BARRA DE APOIO RETA, EM ACO INOX POLIDO, COMPRIMENTO 40CM, DIAMETRO MINIMO 3, FIXAÇÃO VERTICAL NA PAREDE</v>
      </c>
      <c r="E425" s="123">
        <v>2</v>
      </c>
      <c r="F425" s="135"/>
      <c r="G425" s="105">
        <f t="shared" si="31"/>
        <v>0</v>
      </c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2.75" customHeight="1">
      <c r="A426" s="368">
        <v>26.2</v>
      </c>
      <c r="B426" s="422" t="str">
        <f>B460</f>
        <v>C013</v>
      </c>
      <c r="C426" s="124" t="s">
        <v>45</v>
      </c>
      <c r="D426" s="423" t="str">
        <f>D460</f>
        <v>BARRA DE APOIO HORIZONTAL, EM AÇO INOX PARA P.N.E L = 80CM (VASO SANITÁRIO) CONFORME NBR 9050</v>
      </c>
      <c r="E426" s="424">
        <v>2</v>
      </c>
      <c r="F426" s="135"/>
      <c r="G426" s="105">
        <f t="shared" si="31"/>
        <v>0</v>
      </c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2.75" customHeight="1">
      <c r="A427" s="128">
        <v>26.21</v>
      </c>
      <c r="B427" s="97">
        <v>72897</v>
      </c>
      <c r="C427" s="211" t="s">
        <v>82</v>
      </c>
      <c r="D427" s="213" t="s">
        <v>83</v>
      </c>
      <c r="E427" s="216">
        <v>1</v>
      </c>
      <c r="F427" s="135"/>
      <c r="G427" s="105">
        <f t="shared" si="31"/>
        <v>0</v>
      </c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2.75" customHeight="1">
      <c r="A428" s="132">
        <v>26.22</v>
      </c>
      <c r="B428" s="133">
        <f>B940</f>
        <v>99803</v>
      </c>
      <c r="C428" s="133" t="s">
        <v>82</v>
      </c>
      <c r="D428" s="307" t="s">
        <v>570</v>
      </c>
      <c r="E428" s="125">
        <v>25</v>
      </c>
      <c r="F428" s="135"/>
      <c r="G428" s="105">
        <f t="shared" si="31"/>
        <v>0</v>
      </c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2.75" customHeight="1">
      <c r="A429" s="185"/>
      <c r="B429" s="185"/>
      <c r="C429" s="185"/>
      <c r="D429" s="702" t="s">
        <v>84</v>
      </c>
      <c r="E429" s="703"/>
      <c r="F429" s="704"/>
      <c r="G429" s="230">
        <f>SUM(G407:G428)</f>
        <v>0</v>
      </c>
      <c r="H429" s="120">
        <f>G428+G427+G426+G425+G424+G423+G422+G421+G420+G419+G418+G417+G416+G415+G414+G413+G412+G411+G410+G409+G408+G407</f>
        <v>0</v>
      </c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>
      <c r="A430" s="95">
        <v>27</v>
      </c>
      <c r="B430" s="696" t="s">
        <v>573</v>
      </c>
      <c r="C430" s="682"/>
      <c r="D430" s="682"/>
      <c r="E430" s="682"/>
      <c r="F430" s="682"/>
      <c r="G430" s="683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31.5" customHeight="1">
      <c r="A431" s="425">
        <v>27.1</v>
      </c>
      <c r="B431" s="426">
        <v>97634</v>
      </c>
      <c r="C431" s="426" t="s">
        <v>60</v>
      </c>
      <c r="D431" s="427" t="s">
        <v>574</v>
      </c>
      <c r="E431" s="135">
        <v>0.2</v>
      </c>
      <c r="F431" s="428"/>
      <c r="G431" s="429">
        <f t="shared" ref="G431:G442" si="32">F431*E431</f>
        <v>0</v>
      </c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31.5" customHeight="1">
      <c r="A432" s="128">
        <v>27.2</v>
      </c>
      <c r="B432" s="124">
        <v>97629</v>
      </c>
      <c r="C432" s="124" t="s">
        <v>82</v>
      </c>
      <c r="D432" s="343" t="s">
        <v>355</v>
      </c>
      <c r="E432" s="135">
        <v>0.17</v>
      </c>
      <c r="F432" s="129"/>
      <c r="G432" s="105">
        <f t="shared" si="32"/>
        <v>0</v>
      </c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7.75" customHeight="1">
      <c r="A433" s="128">
        <v>27.3</v>
      </c>
      <c r="B433" s="124">
        <v>92537</v>
      </c>
      <c r="C433" s="124" t="s">
        <v>60</v>
      </c>
      <c r="D433" s="343" t="s">
        <v>441</v>
      </c>
      <c r="E433" s="135">
        <v>5.3</v>
      </c>
      <c r="F433" s="129"/>
      <c r="G433" s="105">
        <f t="shared" si="32"/>
        <v>0</v>
      </c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38.25" customHeight="1">
      <c r="A434" s="128">
        <v>27.4</v>
      </c>
      <c r="B434" s="97">
        <v>87630</v>
      </c>
      <c r="C434" s="124" t="s">
        <v>60</v>
      </c>
      <c r="D434" s="103" t="s">
        <v>575</v>
      </c>
      <c r="E434" s="135">
        <v>14.5</v>
      </c>
      <c r="F434" s="135"/>
      <c r="G434" s="105">
        <f t="shared" si="32"/>
        <v>0</v>
      </c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31.5" customHeight="1">
      <c r="A435" s="128">
        <v>27.5</v>
      </c>
      <c r="B435" s="97">
        <v>87263</v>
      </c>
      <c r="C435" s="97" t="s">
        <v>60</v>
      </c>
      <c r="D435" s="103" t="s">
        <v>576</v>
      </c>
      <c r="E435" s="135">
        <v>14.5</v>
      </c>
      <c r="F435" s="135"/>
      <c r="G435" s="105">
        <f t="shared" si="32"/>
        <v>0</v>
      </c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6.5" customHeight="1">
      <c r="A436" s="128">
        <v>27.6</v>
      </c>
      <c r="B436" s="124">
        <v>39620</v>
      </c>
      <c r="C436" s="124" t="s">
        <v>494</v>
      </c>
      <c r="D436" s="279" t="s">
        <v>491</v>
      </c>
      <c r="E436" s="135">
        <v>1</v>
      </c>
      <c r="F436" s="135"/>
      <c r="G436" s="105">
        <f t="shared" si="32"/>
        <v>0</v>
      </c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38.25" customHeight="1">
      <c r="A437" s="128">
        <v>27.7</v>
      </c>
      <c r="B437" s="144" t="s">
        <v>105</v>
      </c>
      <c r="C437" s="430" t="s">
        <v>70</v>
      </c>
      <c r="D437" s="431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437" s="135">
        <v>17.55</v>
      </c>
      <c r="F437" s="135"/>
      <c r="G437" s="104">
        <f t="shared" si="32"/>
        <v>0</v>
      </c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5.5" customHeight="1">
      <c r="A438" s="128">
        <v>27.8</v>
      </c>
      <c r="B438" s="97" t="s">
        <v>136</v>
      </c>
      <c r="C438" s="124" t="s">
        <v>45</v>
      </c>
      <c r="D438" s="103" t="str">
        <f>'Composição de Custos '!D27</f>
        <v>SINALIZAÇÃO EM BRAILE EM ALUMÍNIO AUTO ADESIVO (100X30) MM COM ESP. 0,25MM - INDICA O PAVIMENTO</v>
      </c>
      <c r="E438" s="135">
        <v>4</v>
      </c>
      <c r="F438" s="135"/>
      <c r="G438" s="105">
        <f t="shared" si="32"/>
        <v>0</v>
      </c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5.5" customHeight="1">
      <c r="A439" s="128">
        <v>27.9</v>
      </c>
      <c r="B439" s="97" t="s">
        <v>141</v>
      </c>
      <c r="C439" s="124" t="s">
        <v>45</v>
      </c>
      <c r="D439" s="103" t="str">
        <f>'Composição de Custos '!D33</f>
        <v>INSTALAÇÃO DE FAIXA DE SINALIZAÇÃO VISUAL FOTOLUMINESCENTE DE DEGRAUS COMP. 7 CM X LARG. 3.5CM.</v>
      </c>
      <c r="E439" s="135">
        <v>40</v>
      </c>
      <c r="F439" s="135"/>
      <c r="G439" s="105">
        <f t="shared" si="32"/>
        <v>0</v>
      </c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2.75" customHeight="1">
      <c r="A440" s="368">
        <v>27.1</v>
      </c>
      <c r="B440" s="97" t="s">
        <v>247</v>
      </c>
      <c r="C440" s="124" t="s">
        <v>45</v>
      </c>
      <c r="D440" s="153" t="str">
        <f>'Composição de Custos '!D145</f>
        <v>INSTALAÇÃO DE FAIXA ANTIDERRAPANTE DE DEGRAUS (ROLO COM 5M)</v>
      </c>
      <c r="E440" s="135">
        <v>4</v>
      </c>
      <c r="F440" s="125"/>
      <c r="G440" s="105">
        <f t="shared" si="32"/>
        <v>0</v>
      </c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2.75" customHeight="1">
      <c r="A441" s="368">
        <v>27.11</v>
      </c>
      <c r="B441" s="97">
        <v>72897</v>
      </c>
      <c r="C441" s="211" t="s">
        <v>82</v>
      </c>
      <c r="D441" s="213" t="s">
        <v>83</v>
      </c>
      <c r="E441" s="135">
        <v>3</v>
      </c>
      <c r="F441" s="216"/>
      <c r="G441" s="105">
        <f t="shared" si="32"/>
        <v>0</v>
      </c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2.75" customHeight="1">
      <c r="A442" s="132">
        <v>27.12</v>
      </c>
      <c r="B442" s="133">
        <v>97629</v>
      </c>
      <c r="C442" s="133" t="s">
        <v>82</v>
      </c>
      <c r="D442" s="134" t="s">
        <v>186</v>
      </c>
      <c r="E442" s="135">
        <v>20</v>
      </c>
      <c r="F442" s="135"/>
      <c r="G442" s="105">
        <f t="shared" si="32"/>
        <v>0</v>
      </c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2.75" customHeight="1">
      <c r="A443" s="185"/>
      <c r="B443" s="185"/>
      <c r="C443" s="185"/>
      <c r="D443" s="702" t="s">
        <v>84</v>
      </c>
      <c r="E443" s="703"/>
      <c r="F443" s="704"/>
      <c r="G443" s="230">
        <f>SUM(G431:G442)</f>
        <v>0</v>
      </c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2.75" customHeight="1">
      <c r="A444" s="95">
        <v>28</v>
      </c>
      <c r="B444" s="696" t="s">
        <v>581</v>
      </c>
      <c r="C444" s="682"/>
      <c r="D444" s="682"/>
      <c r="E444" s="682"/>
      <c r="F444" s="682"/>
      <c r="G444" s="683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5.5" customHeight="1">
      <c r="A445" s="128">
        <v>28.1</v>
      </c>
      <c r="B445" s="97" t="s">
        <v>189</v>
      </c>
      <c r="C445" s="124" t="s">
        <v>45</v>
      </c>
      <c r="D445" s="103" t="str">
        <f>'Composição de Custos '!D79</f>
        <v>SUBSTITUIÇÃO DA PORTA SANITÁRIO ACESSÍVEL COM INSTALAÇÃO DE CHAPA ( 2 lados) E PUXADOR HORIZONTAL( COMPRIMENTO 45CM E DIAM. 3CM)  PORTA DE 90</v>
      </c>
      <c r="E445" s="123">
        <v>1</v>
      </c>
      <c r="F445" s="216"/>
      <c r="G445" s="105">
        <f t="shared" ref="G445:G446" si="33">F445*E445</f>
        <v>0</v>
      </c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5.5" customHeight="1">
      <c r="A446" s="128">
        <v>28.2</v>
      </c>
      <c r="B446" s="97" t="s">
        <v>278</v>
      </c>
      <c r="C446" s="97" t="s">
        <v>45</v>
      </c>
      <c r="D446" s="103" t="str">
        <f>'Composição de Custos '!D199</f>
        <v xml:space="preserve">RETIRADA E ASSENTAMENTO DE SOLEIRA EM GRANITO VERDE UBATUBA, TABEIRA, DEGRAUS E SOLEIRAS, ASSENTADO COM ARGAMASSA AC-III CONFORME PROJETO </v>
      </c>
      <c r="E446" s="105">
        <v>1</v>
      </c>
      <c r="F446" s="216"/>
      <c r="G446" s="105">
        <f t="shared" si="33"/>
        <v>0</v>
      </c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5.5" customHeight="1">
      <c r="A447" s="128">
        <v>28.3</v>
      </c>
      <c r="B447" s="97">
        <f>B408</f>
        <v>97622</v>
      </c>
      <c r="C447" s="97" t="s">
        <v>82</v>
      </c>
      <c r="D447" s="103" t="s">
        <v>585</v>
      </c>
      <c r="E447" s="286">
        <f>0.1*2.1*0.15</f>
        <v>3.15E-2</v>
      </c>
      <c r="F447" s="216"/>
      <c r="G447" s="256">
        <f>E447*F447</f>
        <v>0</v>
      </c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5.5" customHeight="1">
      <c r="A448" s="128">
        <v>28.4</v>
      </c>
      <c r="B448" s="97">
        <v>87274</v>
      </c>
      <c r="C448" s="97" t="s">
        <v>60</v>
      </c>
      <c r="D448" s="103" t="s">
        <v>290</v>
      </c>
      <c r="E448" s="286">
        <f>0.33*1.6</f>
        <v>0.52800000000000002</v>
      </c>
      <c r="F448" s="216"/>
      <c r="G448" s="256">
        <f t="shared" ref="G448:G462" si="34">F448*E448</f>
        <v>0</v>
      </c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5.5" customHeight="1">
      <c r="A449" s="128">
        <v>28.5</v>
      </c>
      <c r="B449" s="133" t="s">
        <v>230</v>
      </c>
      <c r="C449" s="124" t="s">
        <v>45</v>
      </c>
      <c r="D449" s="103" t="str">
        <f>'Composição de Custos '!D279</f>
        <v>PLACA DE SINALIZAÇÃO EM BRAILLE E AUTORELEVO 20 X 40 - ACRILICO COM SIMBOLO INTERNACIONAL DE ACESSO CONFORME PROJETO</v>
      </c>
      <c r="E449" s="123">
        <v>1</v>
      </c>
      <c r="F449" s="216"/>
      <c r="G449" s="105">
        <f t="shared" si="34"/>
        <v>0</v>
      </c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38.25" customHeight="1">
      <c r="A450" s="128">
        <v>28.6</v>
      </c>
      <c r="B450" s="97">
        <v>90830</v>
      </c>
      <c r="C450" s="124" t="s">
        <v>60</v>
      </c>
      <c r="D450" s="103" t="s">
        <v>295</v>
      </c>
      <c r="E450" s="105">
        <v>1</v>
      </c>
      <c r="F450" s="216"/>
      <c r="G450" s="105">
        <f t="shared" si="34"/>
        <v>0</v>
      </c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3.25" customHeight="1">
      <c r="A451" s="132">
        <v>28.7</v>
      </c>
      <c r="B451" s="435" t="str">
        <f>'Composição de Custos '!A258</f>
        <v>C021.5</v>
      </c>
      <c r="C451" s="435" t="s">
        <v>267</v>
      </c>
      <c r="D451" s="134" t="str">
        <f>'Composição de Custos '!D258</f>
        <v>INVERTER ABERTURA DA PORTA E INSTALAR PUXADOR HORIZONTAL E TARJETA LIVRE/OCUPADO</v>
      </c>
      <c r="E451" s="136">
        <v>1</v>
      </c>
      <c r="F451" s="216"/>
      <c r="G451" s="136">
        <f t="shared" si="34"/>
        <v>0</v>
      </c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2.75" customHeight="1">
      <c r="A452" s="128">
        <v>28.8</v>
      </c>
      <c r="B452" s="367" t="s">
        <v>429</v>
      </c>
      <c r="C452" s="367" t="s">
        <v>45</v>
      </c>
      <c r="D452" s="103" t="str">
        <f>'Composição de Custos '!D513</f>
        <v>RETIRADA DE LOUÇAS SANITÁRIAS</v>
      </c>
      <c r="E452" s="105">
        <v>2</v>
      </c>
      <c r="F452" s="216"/>
      <c r="G452" s="105">
        <f t="shared" si="34"/>
        <v>0</v>
      </c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2.75" customHeight="1">
      <c r="A453" s="128">
        <v>28.9</v>
      </c>
      <c r="B453" s="97" t="s">
        <v>246</v>
      </c>
      <c r="C453" s="97" t="s">
        <v>45</v>
      </c>
      <c r="D453" s="261" t="str">
        <f>'Composição de Custos '!D319</f>
        <v>READEQUAÇÃO DE PONTO HIDRAULICO PARA VASO SANITÁRIO</v>
      </c>
      <c r="E453" s="439">
        <v>1</v>
      </c>
      <c r="F453" s="216"/>
      <c r="G453" s="105">
        <f t="shared" si="34"/>
        <v>0</v>
      </c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31.5" customHeight="1">
      <c r="A454" s="179">
        <v>28.1</v>
      </c>
      <c r="B454" s="324" t="s">
        <v>565</v>
      </c>
      <c r="C454" s="324" t="s">
        <v>45</v>
      </c>
      <c r="D454" s="325" t="str">
        <f>'Composição de Custos '!D957</f>
        <v>LAVATÓRIO LOUÇA BRANCA SUSPENSO, 29,5 X 39CM OU EQUIVALENTE, PADRÃO POPULAR - FORNECIMENTO E INSTALAÇÃO. AF_12/2013</v>
      </c>
      <c r="E454" s="168">
        <v>1</v>
      </c>
      <c r="F454" s="216"/>
      <c r="G454" s="136">
        <f t="shared" si="34"/>
        <v>0</v>
      </c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5.5" customHeight="1">
      <c r="A455" s="128">
        <v>28.11</v>
      </c>
      <c r="B455" s="97" t="s">
        <v>202</v>
      </c>
      <c r="C455" s="124" t="s">
        <v>45</v>
      </c>
      <c r="D455" s="103" t="str">
        <f>'Composição de Custos '!D99</f>
        <v>TORNEIRA LAVATORIO PRESSMATIC,  VOLANTE TIPO ALAVANCA, PARA LAVATÓRIO DE P.N.E DOCOL OU SIMILAR</v>
      </c>
      <c r="E455" s="440">
        <v>1</v>
      </c>
      <c r="F455" s="216"/>
      <c r="G455" s="105">
        <f t="shared" si="34"/>
        <v>0</v>
      </c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</row>
    <row r="456" spans="1:26" ht="12.75" customHeight="1">
      <c r="A456" s="179">
        <v>28.12</v>
      </c>
      <c r="B456" s="97">
        <v>85005</v>
      </c>
      <c r="C456" s="97" t="s">
        <v>60</v>
      </c>
      <c r="D456" s="103" t="s">
        <v>263</v>
      </c>
      <c r="E456" s="440">
        <v>0.36</v>
      </c>
      <c r="F456" s="216"/>
      <c r="G456" s="105">
        <f t="shared" si="34"/>
        <v>0</v>
      </c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38.25" customHeight="1">
      <c r="A457" s="128">
        <v>28.13</v>
      </c>
      <c r="B457" s="97" t="str">
        <f>'Composição de Custos '!A72</f>
        <v>C006</v>
      </c>
      <c r="C457" s="124" t="s">
        <v>45</v>
      </c>
      <c r="D457" s="103" t="str">
        <f>'Composição de Custos '!D72</f>
        <v xml:space="preserve">BARRA DE APOIO EM TUBO DE AÇO INOXIDÁVEL OU ALUMÍNIO, COM 70 CM, DIAM. 30 À 45 MM, FIXAÇÃO VERTICAL OU HORIZONTAL  </v>
      </c>
      <c r="E457" s="440">
        <v>1</v>
      </c>
      <c r="F457" s="216"/>
      <c r="G457" s="105">
        <f t="shared" si="34"/>
        <v>0</v>
      </c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38.25" customHeight="1">
      <c r="A458" s="179">
        <v>28.14</v>
      </c>
      <c r="B458" s="97" t="s">
        <v>386</v>
      </c>
      <c r="C458" s="124" t="s">
        <v>45</v>
      </c>
      <c r="D458" s="103" t="str">
        <f>'Composição de Custos '!D353</f>
        <v>READEQUAÇÃO DA ALTURA DE APARELHOS SANITÁRIOS   ATRAVÉS DA INSTALAÇÃO DE SÓCULO NA BASE PARA ADEQUAÇÃO DA NORMA DE ACESSIBILIDADE NBR 9050, ITEM 7.3.14</v>
      </c>
      <c r="E458" s="440">
        <v>1</v>
      </c>
      <c r="F458" s="216"/>
      <c r="G458" s="105">
        <f t="shared" si="34"/>
        <v>0</v>
      </c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5.5" customHeight="1">
      <c r="A459" s="128">
        <v>28.15</v>
      </c>
      <c r="B459" s="97" t="s">
        <v>271</v>
      </c>
      <c r="C459" s="124" t="s">
        <v>45</v>
      </c>
      <c r="D459" s="103" t="str">
        <f>'Composição de Custos '!D179</f>
        <v>BARRA DE APOIO RETA, EM ACO INOX POLIDO, COMPRIMENTO 40CM, DIAMETRO MINIMO 3, FIXAÇÃO VERTICAL NA PAREDE</v>
      </c>
      <c r="E459" s="123">
        <v>2</v>
      </c>
      <c r="F459" s="216"/>
      <c r="G459" s="105">
        <f t="shared" si="34"/>
        <v>0</v>
      </c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2.75" customHeight="1">
      <c r="A460" s="179">
        <v>28.16</v>
      </c>
      <c r="B460" s="97" t="str">
        <f>'Composição de Custos '!A158</f>
        <v>C013</v>
      </c>
      <c r="C460" s="124" t="s">
        <v>45</v>
      </c>
      <c r="D460" s="103" t="str">
        <f>'Composição de Custos '!D158</f>
        <v>BARRA DE APOIO HORIZONTAL, EM AÇO INOX PARA P.N.E L = 80CM (VASO SANITÁRIO) CONFORME NBR 9050</v>
      </c>
      <c r="E460" s="123">
        <v>2</v>
      </c>
      <c r="F460" s="216"/>
      <c r="G460" s="105">
        <f t="shared" si="34"/>
        <v>0</v>
      </c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2.75" customHeight="1">
      <c r="A461" s="128">
        <v>28.17</v>
      </c>
      <c r="B461" s="97">
        <v>72897</v>
      </c>
      <c r="C461" s="211" t="s">
        <v>82</v>
      </c>
      <c r="D461" s="213" t="s">
        <v>83</v>
      </c>
      <c r="E461" s="424">
        <v>0.5</v>
      </c>
      <c r="F461" s="216"/>
      <c r="G461" s="105">
        <f t="shared" si="34"/>
        <v>0</v>
      </c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2.75" customHeight="1">
      <c r="A462" s="179">
        <v>28.18</v>
      </c>
      <c r="B462" s="133">
        <v>99803</v>
      </c>
      <c r="C462" s="133" t="s">
        <v>82</v>
      </c>
      <c r="D462" s="134" t="s">
        <v>186</v>
      </c>
      <c r="E462" s="135">
        <v>25</v>
      </c>
      <c r="F462" s="216"/>
      <c r="G462" s="105">
        <f t="shared" si="34"/>
        <v>0</v>
      </c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2.75" customHeight="1">
      <c r="A463" s="185"/>
      <c r="B463" s="185"/>
      <c r="C463" s="185"/>
      <c r="D463" s="702" t="s">
        <v>84</v>
      </c>
      <c r="E463" s="703"/>
      <c r="F463" s="704"/>
      <c r="G463" s="230">
        <f>SUM(G445:G462)</f>
        <v>0</v>
      </c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2.75" customHeight="1">
      <c r="A464" s="95">
        <v>29</v>
      </c>
      <c r="B464" s="696" t="s">
        <v>595</v>
      </c>
      <c r="C464" s="682"/>
      <c r="D464" s="682"/>
      <c r="E464" s="682"/>
      <c r="F464" s="682"/>
      <c r="G464" s="683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5.5" customHeight="1">
      <c r="A465" s="128">
        <v>29.1</v>
      </c>
      <c r="B465" s="124">
        <v>97629</v>
      </c>
      <c r="C465" s="124" t="s">
        <v>82</v>
      </c>
      <c r="D465" s="343" t="s">
        <v>355</v>
      </c>
      <c r="E465" s="216">
        <v>1.5</v>
      </c>
      <c r="F465" s="129"/>
      <c r="G465" s="105">
        <f t="shared" ref="G465:G479" si="35">F465*E465</f>
        <v>0</v>
      </c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5.5" customHeight="1">
      <c r="A466" s="128">
        <v>29.2</v>
      </c>
      <c r="B466" s="124">
        <v>92537</v>
      </c>
      <c r="C466" s="124" t="s">
        <v>60</v>
      </c>
      <c r="D466" s="343" t="s">
        <v>441</v>
      </c>
      <c r="E466" s="216">
        <v>7.6</v>
      </c>
      <c r="F466" s="216"/>
      <c r="G466" s="105">
        <f t="shared" si="35"/>
        <v>0</v>
      </c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38.25" customHeight="1">
      <c r="A467" s="128">
        <v>29.3</v>
      </c>
      <c r="B467" s="97">
        <v>87630</v>
      </c>
      <c r="C467" s="97" t="s">
        <v>60</v>
      </c>
      <c r="D467" s="103" t="s">
        <v>598</v>
      </c>
      <c r="E467" s="216">
        <v>26</v>
      </c>
      <c r="F467" s="216"/>
      <c r="G467" s="105">
        <f t="shared" si="35"/>
        <v>0</v>
      </c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38.25" customHeight="1">
      <c r="A468" s="128">
        <v>29.4</v>
      </c>
      <c r="B468" s="97">
        <v>87263</v>
      </c>
      <c r="C468" s="97" t="s">
        <v>60</v>
      </c>
      <c r="D468" s="103" t="s">
        <v>576</v>
      </c>
      <c r="E468" s="216">
        <f>31.98*1.1</f>
        <v>35.178000000000004</v>
      </c>
      <c r="F468" s="216"/>
      <c r="G468" s="105">
        <f t="shared" si="35"/>
        <v>0</v>
      </c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5.5" customHeight="1">
      <c r="A469" s="128">
        <v>29.5</v>
      </c>
      <c r="B469" s="97" t="s">
        <v>503</v>
      </c>
      <c r="C469" s="97" t="s">
        <v>70</v>
      </c>
      <c r="D469" s="103" t="str">
        <f>'Composição de Custos '!D553</f>
        <v>ASSENTAMENTO DE SOLEIRA EM GRANITO TABEIRA, L= 10CM, E= 3CM, DEGRAUS E SOLEIRAS, ASSENTADO COM ARGAMASSA AC-III</v>
      </c>
      <c r="E469" s="216">
        <v>37.24</v>
      </c>
      <c r="F469" s="190"/>
      <c r="G469" s="105">
        <f t="shared" si="35"/>
        <v>0</v>
      </c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2.75" customHeight="1">
      <c r="A470" s="128">
        <v>29.7</v>
      </c>
      <c r="B470" s="144" t="s">
        <v>497</v>
      </c>
      <c r="C470" s="430" t="s">
        <v>70</v>
      </c>
      <c r="D470" s="431" t="str">
        <f>'Composição de Custos '!D546</f>
        <v>ADEQUAÇÃO TUBOS DE AÇO INOX  D= 3,8 EM CORRIMAO E GUARDA-CORPO</v>
      </c>
      <c r="E470" s="216">
        <v>14.5</v>
      </c>
      <c r="F470" s="443"/>
      <c r="G470" s="104">
        <f t="shared" si="35"/>
        <v>0</v>
      </c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5.5" customHeight="1">
      <c r="A471" s="128">
        <v>29.8</v>
      </c>
      <c r="B471" s="97" t="s">
        <v>136</v>
      </c>
      <c r="C471" s="124" t="s">
        <v>45</v>
      </c>
      <c r="D471" s="103" t="str">
        <f>'Composição de Custos '!D27</f>
        <v>SINALIZAÇÃO EM BRAILE EM ALUMÍNIO AUTO ADESIVO (100X30) MM COM ESP. 0,25MM - INDICA O PAVIMENTO</v>
      </c>
      <c r="E471" s="216">
        <v>8</v>
      </c>
      <c r="F471" s="105"/>
      <c r="G471" s="105">
        <f t="shared" si="35"/>
        <v>0</v>
      </c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5.5" customHeight="1">
      <c r="A472" s="128">
        <v>29.9</v>
      </c>
      <c r="B472" s="97" t="s">
        <v>141</v>
      </c>
      <c r="C472" s="124" t="s">
        <v>45</v>
      </c>
      <c r="D472" s="103" t="str">
        <f>'Composição de Custos '!D33</f>
        <v>INSTALAÇÃO DE FAIXA DE SINALIZAÇÃO VISUAL FOTOLUMINESCENTE DE DEGRAUS COMP. 7 CM X LARG. 3.5CM.</v>
      </c>
      <c r="E472" s="216">
        <v>40</v>
      </c>
      <c r="F472" s="123"/>
      <c r="G472" s="105">
        <f t="shared" si="35"/>
        <v>0</v>
      </c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2.75" customHeight="1">
      <c r="A473" s="368">
        <v>29.1</v>
      </c>
      <c r="B473" s="97" t="s">
        <v>247</v>
      </c>
      <c r="C473" s="124" t="s">
        <v>45</v>
      </c>
      <c r="D473" s="103" t="str">
        <f>'Composição de Custos '!D145</f>
        <v>INSTALAÇÃO DE FAIXA ANTIDERRAPANTE DE DEGRAUS (ROLO COM 5M)</v>
      </c>
      <c r="E473" s="216">
        <v>4</v>
      </c>
      <c r="F473" s="125"/>
      <c r="G473" s="105">
        <f t="shared" si="35"/>
        <v>0</v>
      </c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2.75" customHeight="1">
      <c r="A474" s="368">
        <v>29.11</v>
      </c>
      <c r="B474" s="97">
        <v>72897</v>
      </c>
      <c r="C474" s="211" t="s">
        <v>82</v>
      </c>
      <c r="D474" s="213" t="s">
        <v>605</v>
      </c>
      <c r="E474" s="216">
        <v>3</v>
      </c>
      <c r="F474" s="125"/>
      <c r="G474" s="105">
        <f t="shared" si="35"/>
        <v>0</v>
      </c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44.25" customHeight="1">
      <c r="A475" s="132">
        <v>29.12</v>
      </c>
      <c r="B475" s="133" t="s">
        <v>151</v>
      </c>
      <c r="C475" s="324" t="s">
        <v>60</v>
      </c>
      <c r="D475" s="325" t="str">
        <f>'Composição de Custos '!D186</f>
        <v>EXECUÇÃO DE GUIA DE BALIZAMENTO EM CONCRETO MOLDADO IN LOCO,  ARMADURA 6.3MM, LARGURA 15 CM E ALTURA 5 CM., INCLUSIVE PINTURA COM TINTA ACRÍLICA PARA PISO CIMENTADO 2 DEMÃOS.</v>
      </c>
      <c r="E475" s="216">
        <v>14.96</v>
      </c>
      <c r="F475" s="345"/>
      <c r="G475" s="136">
        <f t="shared" si="35"/>
        <v>0</v>
      </c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2.75" customHeight="1">
      <c r="A476" s="132">
        <v>29.13</v>
      </c>
      <c r="B476" s="133">
        <v>88489</v>
      </c>
      <c r="C476" s="324" t="s">
        <v>60</v>
      </c>
      <c r="D476" s="325" t="s">
        <v>398</v>
      </c>
      <c r="E476" s="216">
        <v>14.96</v>
      </c>
      <c r="F476" s="345"/>
      <c r="G476" s="136">
        <f t="shared" si="35"/>
        <v>0</v>
      </c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2.75" customHeight="1">
      <c r="A477" s="132">
        <v>29.14</v>
      </c>
      <c r="B477" s="133">
        <v>99803</v>
      </c>
      <c r="C477" s="133" t="s">
        <v>82</v>
      </c>
      <c r="D477" s="134" t="s">
        <v>186</v>
      </c>
      <c r="E477" s="216">
        <v>40</v>
      </c>
      <c r="F477" s="135"/>
      <c r="G477" s="136">
        <f t="shared" si="35"/>
        <v>0</v>
      </c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2.75" customHeight="1">
      <c r="A478" s="132">
        <v>29.15</v>
      </c>
      <c r="B478" s="138" t="s">
        <v>607</v>
      </c>
      <c r="C478" s="138" t="s">
        <v>60</v>
      </c>
      <c r="D478" s="134" t="s">
        <v>608</v>
      </c>
      <c r="E478" s="125">
        <f t="shared" ref="E478:E479" si="36">2.5*0.9</f>
        <v>2.25</v>
      </c>
      <c r="F478" s="125"/>
      <c r="G478" s="136">
        <f t="shared" si="35"/>
        <v>0</v>
      </c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2.75" customHeight="1">
      <c r="A479" s="132">
        <v>29.16</v>
      </c>
      <c r="B479" s="138" t="s">
        <v>609</v>
      </c>
      <c r="C479" s="138" t="s">
        <v>60</v>
      </c>
      <c r="D479" s="134" t="s">
        <v>610</v>
      </c>
      <c r="E479" s="125">
        <f t="shared" si="36"/>
        <v>2.25</v>
      </c>
      <c r="F479" s="125"/>
      <c r="G479" s="136">
        <f t="shared" si="35"/>
        <v>0</v>
      </c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2.75" customHeight="1">
      <c r="A480" s="454"/>
      <c r="B480" s="455"/>
      <c r="C480" s="185"/>
      <c r="D480" s="702" t="s">
        <v>84</v>
      </c>
      <c r="E480" s="703"/>
      <c r="F480" s="704"/>
      <c r="G480" s="230">
        <f>SUM(G465:G479)</f>
        <v>0</v>
      </c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2.75" customHeight="1">
      <c r="A481" s="95">
        <v>30</v>
      </c>
      <c r="B481" s="696" t="s">
        <v>614</v>
      </c>
      <c r="C481" s="682"/>
      <c r="D481" s="682"/>
      <c r="E481" s="682"/>
      <c r="F481" s="682"/>
      <c r="G481" s="683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5.5" customHeight="1">
      <c r="A482" s="128">
        <v>30.1</v>
      </c>
      <c r="B482" s="124">
        <v>97622</v>
      </c>
      <c r="C482" s="124" t="s">
        <v>82</v>
      </c>
      <c r="D482" s="343" t="s">
        <v>347</v>
      </c>
      <c r="E482" s="129">
        <f>6.78*0.15</f>
        <v>1.0169999999999999</v>
      </c>
      <c r="F482" s="125"/>
      <c r="G482" s="105">
        <f t="shared" ref="G482:G491" si="37">F482*E482</f>
        <v>0</v>
      </c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2.75" customHeight="1">
      <c r="A483" s="128">
        <v>30.2</v>
      </c>
      <c r="B483" s="144" t="s">
        <v>509</v>
      </c>
      <c r="C483" s="124" t="s">
        <v>125</v>
      </c>
      <c r="D483" s="431" t="str">
        <f>'Composição de Custos '!D560</f>
        <v>RETIRADA DE JANELAS PARA ADEQUAÇÃO PROJETO</v>
      </c>
      <c r="E483" s="443">
        <v>2</v>
      </c>
      <c r="F483" s="125"/>
      <c r="G483" s="104">
        <f t="shared" si="37"/>
        <v>0</v>
      </c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2.75" customHeight="1">
      <c r="A484" s="128">
        <v>30.3</v>
      </c>
      <c r="B484" s="97" t="str">
        <f>'Composição de Custos '!A889</f>
        <v>C082.1</v>
      </c>
      <c r="C484" s="124" t="s">
        <v>125</v>
      </c>
      <c r="D484" s="103" t="s">
        <v>615</v>
      </c>
      <c r="E484" s="129">
        <v>1</v>
      </c>
      <c r="F484" s="125"/>
      <c r="G484" s="105">
        <f t="shared" si="37"/>
        <v>0</v>
      </c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5.5" customHeight="1">
      <c r="A485" s="128">
        <v>30.4</v>
      </c>
      <c r="B485" s="97">
        <v>88489</v>
      </c>
      <c r="C485" s="97" t="s">
        <v>60</v>
      </c>
      <c r="D485" s="103" t="s">
        <v>398</v>
      </c>
      <c r="E485" s="129">
        <v>45</v>
      </c>
      <c r="F485" s="125"/>
      <c r="G485" s="105">
        <f t="shared" si="37"/>
        <v>0</v>
      </c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2.75" customHeight="1">
      <c r="A486" s="128">
        <v>30.5</v>
      </c>
      <c r="B486" s="124">
        <v>39620</v>
      </c>
      <c r="C486" s="124" t="s">
        <v>125</v>
      </c>
      <c r="D486" s="261" t="s">
        <v>491</v>
      </c>
      <c r="E486" s="456">
        <v>1</v>
      </c>
      <c r="F486" s="125"/>
      <c r="G486" s="129">
        <f t="shared" si="37"/>
        <v>0</v>
      </c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2.75" customHeight="1">
      <c r="A487" s="128">
        <v>30.6</v>
      </c>
      <c r="B487" s="97">
        <v>72897</v>
      </c>
      <c r="C487" s="211" t="s">
        <v>82</v>
      </c>
      <c r="D487" s="213" t="s">
        <v>83</v>
      </c>
      <c r="E487" s="216">
        <v>1.5</v>
      </c>
      <c r="F487" s="125"/>
      <c r="G487" s="105">
        <f t="shared" si="37"/>
        <v>0</v>
      </c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2.75" customHeight="1">
      <c r="A488" s="132">
        <v>30.7</v>
      </c>
      <c r="B488" s="133">
        <v>97638</v>
      </c>
      <c r="C488" s="324" t="s">
        <v>60</v>
      </c>
      <c r="D488" s="325" t="s">
        <v>618</v>
      </c>
      <c r="E488" s="345">
        <v>8.26</v>
      </c>
      <c r="F488" s="125"/>
      <c r="G488" s="136">
        <f t="shared" si="37"/>
        <v>0</v>
      </c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2.75" customHeight="1">
      <c r="A489" s="132">
        <v>30.8</v>
      </c>
      <c r="B489" s="133">
        <v>96110</v>
      </c>
      <c r="C489" s="324" t="s">
        <v>60</v>
      </c>
      <c r="D489" s="325" t="s">
        <v>620</v>
      </c>
      <c r="E489" s="345">
        <v>0.28999999999999998</v>
      </c>
      <c r="F489" s="125"/>
      <c r="G489" s="136">
        <f t="shared" si="37"/>
        <v>0</v>
      </c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2.75" customHeight="1">
      <c r="A490" s="132">
        <v>30.9</v>
      </c>
      <c r="B490" s="133" t="s">
        <v>606</v>
      </c>
      <c r="C490" s="324" t="s">
        <v>70</v>
      </c>
      <c r="D490" s="325" t="s">
        <v>280</v>
      </c>
      <c r="E490" s="345">
        <v>1</v>
      </c>
      <c r="F490" s="125"/>
      <c r="G490" s="136">
        <f t="shared" si="37"/>
        <v>0</v>
      </c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2.75" customHeight="1">
      <c r="A491" s="179">
        <v>30.1</v>
      </c>
      <c r="B491" s="133">
        <v>99803</v>
      </c>
      <c r="C491" s="133" t="s">
        <v>82</v>
      </c>
      <c r="D491" s="134" t="s">
        <v>186</v>
      </c>
      <c r="E491" s="135">
        <v>20</v>
      </c>
      <c r="F491" s="125"/>
      <c r="G491" s="136">
        <f t="shared" si="37"/>
        <v>0</v>
      </c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2.75" customHeight="1">
      <c r="A492" s="460"/>
      <c r="B492" s="455"/>
      <c r="C492" s="265"/>
      <c r="D492" s="709" t="s">
        <v>84</v>
      </c>
      <c r="E492" s="703"/>
      <c r="F492" s="704"/>
      <c r="G492" s="266">
        <f>SUM(G482:G491)</f>
        <v>0</v>
      </c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2.75" customHeight="1">
      <c r="A493" s="95">
        <v>31</v>
      </c>
      <c r="B493" s="696" t="s">
        <v>622</v>
      </c>
      <c r="C493" s="682"/>
      <c r="D493" s="682"/>
      <c r="E493" s="682"/>
      <c r="F493" s="682"/>
      <c r="G493" s="683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5.5" customHeight="1">
      <c r="A494" s="128">
        <v>31.1</v>
      </c>
      <c r="B494" s="97" t="s">
        <v>278</v>
      </c>
      <c r="C494" s="97" t="s">
        <v>45</v>
      </c>
      <c r="D494" s="103" t="str">
        <f>'Composição de Custos '!D199</f>
        <v xml:space="preserve">RETIRADA E ASSENTAMENTO DE SOLEIRA EM GRANITO VERDE UBATUBA, TABEIRA, DEGRAUS E SOLEIRAS, ASSENTADO COM ARGAMASSA AC-III CONFORME PROJETO </v>
      </c>
      <c r="E494" s="456">
        <v>1</v>
      </c>
      <c r="F494" s="125"/>
      <c r="G494" s="105">
        <f t="shared" ref="G494:G495" si="38">F494*E494</f>
        <v>0</v>
      </c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5.5" customHeight="1">
      <c r="A495" s="128">
        <v>31.2</v>
      </c>
      <c r="B495" s="97" t="str">
        <f>'Composição de Custos '!A79</f>
        <v>C007</v>
      </c>
      <c r="C495" s="124" t="s">
        <v>45</v>
      </c>
      <c r="D495" s="103" t="str">
        <f>'Composição de Custos '!D79</f>
        <v>SUBSTITUIÇÃO DA PORTA SANITÁRIO ACESSÍVEL COM INSTALAÇÃO DE CHAPA ( 2 lados) E PUXADOR HORIZONTAL( COMPRIMENTO 45CM E DIAM. 3CM)  PORTA DE 90</v>
      </c>
      <c r="E495" s="125">
        <v>1</v>
      </c>
      <c r="F495" s="125"/>
      <c r="G495" s="105">
        <f t="shared" si="38"/>
        <v>0</v>
      </c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5.5" customHeight="1">
      <c r="A496" s="128">
        <v>31.3</v>
      </c>
      <c r="B496" s="97">
        <v>97622</v>
      </c>
      <c r="C496" s="97" t="s">
        <v>82</v>
      </c>
      <c r="D496" s="103" t="s">
        <v>585</v>
      </c>
      <c r="E496" s="286">
        <f>0.1*2.1*0.15</f>
        <v>3.15E-2</v>
      </c>
      <c r="F496" s="125"/>
      <c r="G496" s="256">
        <f>E496*F496</f>
        <v>0</v>
      </c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5.5" customHeight="1">
      <c r="A497" s="128">
        <v>31.4</v>
      </c>
      <c r="B497" s="97">
        <v>87274</v>
      </c>
      <c r="C497" s="97" t="s">
        <v>60</v>
      </c>
      <c r="D497" s="103" t="s">
        <v>290</v>
      </c>
      <c r="E497" s="286">
        <f>0.33*1.6</f>
        <v>0.52800000000000002</v>
      </c>
      <c r="F497" s="125"/>
      <c r="G497" s="256">
        <f t="shared" ref="G497:G515" si="39">F497*E497</f>
        <v>0</v>
      </c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5.5" customHeight="1">
      <c r="A498" s="128">
        <v>31.5</v>
      </c>
      <c r="B498" s="133" t="s">
        <v>230</v>
      </c>
      <c r="C498" s="124" t="s">
        <v>45</v>
      </c>
      <c r="D498" s="103" t="str">
        <f>'Composição de Custos '!D279</f>
        <v>PLACA DE SINALIZAÇÃO EM BRAILLE E AUTORELEVO 20 X 40 - ACRILICO COM SIMBOLO INTERNACIONAL DE ACESSO CONFORME PROJETO</v>
      </c>
      <c r="E498" s="125">
        <v>1</v>
      </c>
      <c r="F498" s="125"/>
      <c r="G498" s="105">
        <f t="shared" si="39"/>
        <v>0</v>
      </c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9.25" customHeight="1">
      <c r="A499" s="128">
        <v>31.6</v>
      </c>
      <c r="B499" s="97">
        <v>90830</v>
      </c>
      <c r="C499" s="124" t="s">
        <v>45</v>
      </c>
      <c r="D499" s="103" t="s">
        <v>295</v>
      </c>
      <c r="E499" s="190">
        <v>1</v>
      </c>
      <c r="F499" s="125"/>
      <c r="G499" s="105">
        <f t="shared" si="39"/>
        <v>0</v>
      </c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8.75" customHeight="1">
      <c r="A500" s="128">
        <v>31.7</v>
      </c>
      <c r="B500" s="97" t="str">
        <f>'Composição de Custos '!A583</f>
        <v>C058.2</v>
      </c>
      <c r="C500" s="124" t="s">
        <v>45</v>
      </c>
      <c r="D500" s="461" t="s">
        <v>521</v>
      </c>
      <c r="E500" s="125">
        <v>1</v>
      </c>
      <c r="F500" s="125"/>
      <c r="G500" s="105">
        <f t="shared" si="39"/>
        <v>0</v>
      </c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5.5" customHeight="1">
      <c r="A501" s="128">
        <v>31.8</v>
      </c>
      <c r="B501" s="97" t="s">
        <v>184</v>
      </c>
      <c r="C501" s="97" t="s">
        <v>45</v>
      </c>
      <c r="D501" s="103" t="str">
        <f>'Composição de Custos '!D72</f>
        <v xml:space="preserve">BARRA DE APOIO EM TUBO DE AÇO INOXIDÁVEL OU ALUMÍNIO, COM 70 CM, DIAM. 30 À 45 MM, FIXAÇÃO VERTICAL OU HORIZONTAL  </v>
      </c>
      <c r="E501" s="190">
        <v>3</v>
      </c>
      <c r="F501" s="125"/>
      <c r="G501" s="105">
        <f t="shared" si="39"/>
        <v>0</v>
      </c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2.75" customHeight="1">
      <c r="A502" s="128">
        <v>31.9</v>
      </c>
      <c r="B502" s="144" t="s">
        <v>233</v>
      </c>
      <c r="C502" s="144" t="s">
        <v>45</v>
      </c>
      <c r="D502" s="103" t="str">
        <f>'Composição de Custos '!D502</f>
        <v>RETIRADA DE CHAPA DE GRANITO DE BOX DE BANHEIRO COMO REAPROVEITAMENTO</v>
      </c>
      <c r="E502" s="456">
        <v>0.24</v>
      </c>
      <c r="F502" s="125"/>
      <c r="G502" s="105">
        <f t="shared" si="39"/>
        <v>0</v>
      </c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5.5" customHeight="1">
      <c r="A503" s="368">
        <v>31.1</v>
      </c>
      <c r="B503" s="144" t="str">
        <f>B416</f>
        <v>C031</v>
      </c>
      <c r="C503" s="97" t="s">
        <v>60</v>
      </c>
      <c r="D503" s="103" t="str">
        <f>D416</f>
        <v>DIVISÓRIA EM GRANITO, COM DUAS FACES POLIDAS, COR CINZA,  PARA INSTALAÇÃO EM BOXES DE BANHEIRO</v>
      </c>
      <c r="E503" s="463">
        <f>1.81*0.55</f>
        <v>0.99550000000000016</v>
      </c>
      <c r="F503" s="125"/>
      <c r="G503" s="105">
        <f t="shared" si="39"/>
        <v>0</v>
      </c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5.5" customHeight="1">
      <c r="A504" s="128">
        <v>31.11</v>
      </c>
      <c r="B504" s="144" t="str">
        <f>'Composição de Custos '!A258</f>
        <v>C021.5</v>
      </c>
      <c r="C504" s="144" t="s">
        <v>45</v>
      </c>
      <c r="D504" s="103" t="str">
        <f>'Composição de Custos '!D258</f>
        <v>INVERTER ABERTURA DA PORTA E INSTALAR PUXADOR HORIZONTAL E TARJETA LIVRE/OCUPADO</v>
      </c>
      <c r="E504" s="456">
        <v>1</v>
      </c>
      <c r="F504" s="125"/>
      <c r="G504" s="105">
        <f t="shared" si="39"/>
        <v>0</v>
      </c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2.75" customHeight="1">
      <c r="A505" s="128">
        <v>31.12</v>
      </c>
      <c r="B505" s="341">
        <v>85005</v>
      </c>
      <c r="C505" s="97" t="s">
        <v>60</v>
      </c>
      <c r="D505" s="103" t="s">
        <v>263</v>
      </c>
      <c r="E505" s="125">
        <f>0.4*0.9</f>
        <v>0.36000000000000004</v>
      </c>
      <c r="F505" s="125"/>
      <c r="G505" s="105">
        <f t="shared" si="39"/>
        <v>0</v>
      </c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2.75" customHeight="1">
      <c r="A506" s="128">
        <v>31.13</v>
      </c>
      <c r="B506" s="144" t="s">
        <v>429</v>
      </c>
      <c r="C506" s="144" t="s">
        <v>45</v>
      </c>
      <c r="D506" s="103" t="str">
        <f>'Composição de Custos '!D513</f>
        <v>RETIRADA DE LOUÇAS SANITÁRIAS</v>
      </c>
      <c r="E506" s="456">
        <v>2</v>
      </c>
      <c r="F506" s="125"/>
      <c r="G506" s="105">
        <f t="shared" si="39"/>
        <v>0</v>
      </c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38.25" customHeight="1">
      <c r="A507" s="128">
        <v>31.14</v>
      </c>
      <c r="B507" s="144" t="str">
        <f>'Composição de Custos '!A415</f>
        <v>C036</v>
      </c>
      <c r="C507" s="144" t="s">
        <v>60</v>
      </c>
      <c r="D507" s="103" t="str">
        <f>'Composição de Custos '!D415</f>
        <v>CONSTRUÇÃO DE ALVENARIA 9X19X19CM, COM REVESTIMENTO CERAMICO 20X20CM,  PARA ADEQUAR BANHEIROS</v>
      </c>
      <c r="E507" s="456">
        <f>1*0.65</f>
        <v>0.65</v>
      </c>
      <c r="F507" s="125"/>
      <c r="G507" s="105">
        <f t="shared" si="39"/>
        <v>0</v>
      </c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41.25" customHeight="1">
      <c r="A508" s="128">
        <v>31.15</v>
      </c>
      <c r="B508" s="133" t="str">
        <f>'Composição de Custos '!A207</f>
        <v>C017.1</v>
      </c>
      <c r="C508" s="124" t="s">
        <v>70</v>
      </c>
      <c r="D508" s="103" t="str">
        <f>'Composição de Custos '!D207</f>
        <v xml:space="preserve">ASSENTAMENTO DE SOLEIRA EM GRANITO VERDE UBATUBA, TABEIRA, DEGRAUS E SOLEIRAS, ASSENTADO COM ARGAMASSA AC-III CONFORME PROJETO </v>
      </c>
      <c r="E508" s="125">
        <f>0.65</f>
        <v>0.65</v>
      </c>
      <c r="F508" s="125"/>
      <c r="G508" s="105">
        <f t="shared" si="39"/>
        <v>0</v>
      </c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30" customHeight="1">
      <c r="A509" s="132">
        <v>31.16</v>
      </c>
      <c r="B509" s="133" t="s">
        <v>565</v>
      </c>
      <c r="C509" s="133" t="s">
        <v>45</v>
      </c>
      <c r="D509" s="134" t="str">
        <f>'Composição de Custos '!D957</f>
        <v>LAVATÓRIO LOUÇA BRANCA SUSPENSO, 29,5 X 39CM OU EQUIVALENTE, PADRÃO POPULAR - FORNECIMENTO E INSTALAÇÃO. AF_12/2013</v>
      </c>
      <c r="E509" s="135">
        <v>1</v>
      </c>
      <c r="F509" s="125"/>
      <c r="G509" s="136">
        <f t="shared" si="39"/>
        <v>0</v>
      </c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5.5" customHeight="1">
      <c r="A510" s="128">
        <v>31.17</v>
      </c>
      <c r="B510" s="341" t="s">
        <v>202</v>
      </c>
      <c r="C510" s="124" t="s">
        <v>45</v>
      </c>
      <c r="D510" s="153" t="str">
        <f>'Composição de Custos '!D99</f>
        <v>TORNEIRA LAVATORIO PRESSMATIC,  VOLANTE TIPO ALAVANCA, PARA LAVATÓRIO DE P.N.E DOCOL OU SIMILAR</v>
      </c>
      <c r="E510" s="125">
        <v>1</v>
      </c>
      <c r="F510" s="125"/>
      <c r="G510" s="105">
        <f t="shared" si="39"/>
        <v>0</v>
      </c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38.25" customHeight="1">
      <c r="A511" s="128">
        <v>31.18</v>
      </c>
      <c r="B511" s="97" t="s">
        <v>386</v>
      </c>
      <c r="C511" s="124" t="s">
        <v>45</v>
      </c>
      <c r="D511" s="125" t="str">
        <f>'Composição de Custos '!D353</f>
        <v>READEQUAÇÃO DA ALTURA DE APARELHOS SANITÁRIOS   ATRAVÉS DA INSTALAÇÃO DE SÓCULO NA BASE PARA ADEQUAÇÃO DA NORMA DE ACESSIBILIDADE NBR 9050, ITEM 7.3.14</v>
      </c>
      <c r="E511" s="125">
        <v>1</v>
      </c>
      <c r="F511" s="125"/>
      <c r="G511" s="105">
        <f t="shared" si="39"/>
        <v>0</v>
      </c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5.5" customHeight="1">
      <c r="A512" s="128">
        <v>31.19</v>
      </c>
      <c r="B512" s="341" t="s">
        <v>271</v>
      </c>
      <c r="C512" s="124" t="s">
        <v>45</v>
      </c>
      <c r="D512" s="153" t="str">
        <f>'Composição de Custos '!D179</f>
        <v>BARRA DE APOIO RETA, EM ACO INOX POLIDO, COMPRIMENTO 40CM, DIAMETRO MINIMO 3, FIXAÇÃO VERTICAL NA PAREDE</v>
      </c>
      <c r="E512" s="125">
        <v>2</v>
      </c>
      <c r="F512" s="125"/>
      <c r="G512" s="105">
        <f t="shared" si="39"/>
        <v>0</v>
      </c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2.75" customHeight="1">
      <c r="A513" s="368">
        <v>31.2</v>
      </c>
      <c r="B513" s="97" t="str">
        <f>B460</f>
        <v>C013</v>
      </c>
      <c r="C513" s="211" t="s">
        <v>45</v>
      </c>
      <c r="D513" s="213" t="str">
        <f>'Composição de Custos '!D158</f>
        <v>BARRA DE APOIO HORIZONTAL, EM AÇO INOX PARA P.N.E L = 80CM (VASO SANITÁRIO) CONFORME NBR 9050</v>
      </c>
      <c r="E513" s="216">
        <v>2</v>
      </c>
      <c r="F513" s="125"/>
      <c r="G513" s="105">
        <f t="shared" si="39"/>
        <v>0</v>
      </c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2.75" customHeight="1">
      <c r="A514" s="128">
        <v>31.21</v>
      </c>
      <c r="B514" s="97">
        <v>72897</v>
      </c>
      <c r="C514" s="211" t="s">
        <v>82</v>
      </c>
      <c r="D514" s="213" t="s">
        <v>83</v>
      </c>
      <c r="E514" s="216">
        <v>0.5</v>
      </c>
      <c r="F514" s="125"/>
      <c r="G514" s="105">
        <f t="shared" si="39"/>
        <v>0</v>
      </c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2.75" customHeight="1">
      <c r="A515" s="132">
        <v>31.22</v>
      </c>
      <c r="B515" s="133">
        <v>99803</v>
      </c>
      <c r="C515" s="133" t="s">
        <v>82</v>
      </c>
      <c r="D515" s="134" t="s">
        <v>186</v>
      </c>
      <c r="E515" s="135">
        <v>20</v>
      </c>
      <c r="F515" s="125"/>
      <c r="G515" s="136">
        <f t="shared" si="39"/>
        <v>0</v>
      </c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25" customHeight="1">
      <c r="A516" s="486"/>
      <c r="B516" s="113"/>
      <c r="C516" s="113"/>
      <c r="D516" s="705" t="s">
        <v>84</v>
      </c>
      <c r="E516" s="682"/>
      <c r="F516" s="683"/>
      <c r="G516" s="130">
        <f>SUM(G494:G515)</f>
        <v>0</v>
      </c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2.75" customHeight="1">
      <c r="A517" s="95">
        <v>32</v>
      </c>
      <c r="B517" s="696" t="s">
        <v>650</v>
      </c>
      <c r="C517" s="682"/>
      <c r="D517" s="682"/>
      <c r="E517" s="682"/>
      <c r="F517" s="682"/>
      <c r="G517" s="683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5.5" customHeight="1">
      <c r="A518" s="128">
        <v>32.1</v>
      </c>
      <c r="B518" s="97" t="s">
        <v>278</v>
      </c>
      <c r="C518" s="97" t="s">
        <v>45</v>
      </c>
      <c r="D518" s="103" t="str">
        <f>'Composição de Custos '!D199</f>
        <v xml:space="preserve">RETIRADA E ASSENTAMENTO DE SOLEIRA EM GRANITO VERDE UBATUBA, TABEIRA, DEGRAUS E SOLEIRAS, ASSENTADO COM ARGAMASSA AC-III CONFORME PROJETO </v>
      </c>
      <c r="E518" s="129">
        <v>1</v>
      </c>
      <c r="F518" s="125"/>
      <c r="G518" s="105">
        <f t="shared" ref="G518:G519" si="40">F518*E518</f>
        <v>0</v>
      </c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5.5" customHeight="1">
      <c r="A519" s="128">
        <v>32.200000000000003</v>
      </c>
      <c r="B519" s="97" t="s">
        <v>189</v>
      </c>
      <c r="C519" s="124" t="s">
        <v>45</v>
      </c>
      <c r="D519" s="103" t="str">
        <f>'Composição de Custos '!D79</f>
        <v>SUBSTITUIÇÃO DA PORTA SANITÁRIO ACESSÍVEL COM INSTALAÇÃO DE CHAPA ( 2 lados) E PUXADOR HORIZONTAL( COMPRIMENTO 45CM E DIAM. 3CM)  PORTA DE 90</v>
      </c>
      <c r="E519" s="123">
        <v>1</v>
      </c>
      <c r="F519" s="125"/>
      <c r="G519" s="105">
        <f t="shared" si="40"/>
        <v>0</v>
      </c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5.5" customHeight="1">
      <c r="A520" s="128">
        <v>32.299999999999997</v>
      </c>
      <c r="B520" s="97">
        <v>97622</v>
      </c>
      <c r="C520" s="97" t="s">
        <v>82</v>
      </c>
      <c r="D520" s="103" t="s">
        <v>585</v>
      </c>
      <c r="E520" s="286">
        <f>0.1*2.1*0.15</f>
        <v>3.15E-2</v>
      </c>
      <c r="F520" s="125"/>
      <c r="G520" s="256">
        <f>E520*F520</f>
        <v>0</v>
      </c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5.5" customHeight="1">
      <c r="A521" s="128">
        <v>32.4</v>
      </c>
      <c r="B521" s="97">
        <v>87274</v>
      </c>
      <c r="C521" s="97" t="s">
        <v>60</v>
      </c>
      <c r="D521" s="103" t="s">
        <v>290</v>
      </c>
      <c r="E521" s="286">
        <f>0.33*1.6</f>
        <v>0.52800000000000002</v>
      </c>
      <c r="F521" s="125"/>
      <c r="G521" s="256">
        <f t="shared" ref="G521:G538" si="41">F521*E521</f>
        <v>0</v>
      </c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5.5" customHeight="1">
      <c r="A522" s="128">
        <v>32.5</v>
      </c>
      <c r="B522" s="97">
        <v>90830</v>
      </c>
      <c r="C522" s="124" t="s">
        <v>45</v>
      </c>
      <c r="D522" s="103" t="s">
        <v>295</v>
      </c>
      <c r="E522" s="190">
        <v>1</v>
      </c>
      <c r="F522" s="125"/>
      <c r="G522" s="105">
        <f t="shared" si="41"/>
        <v>0</v>
      </c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5.5" customHeight="1">
      <c r="A523" s="128">
        <v>32.6</v>
      </c>
      <c r="B523" s="97" t="s">
        <v>230</v>
      </c>
      <c r="C523" s="124" t="s">
        <v>45</v>
      </c>
      <c r="D523" s="103" t="str">
        <f>'Composição de Custos '!D279</f>
        <v>PLACA DE SINALIZAÇÃO EM BRAILLE E AUTORELEVO 20 X 40 - ACRILICO COM SIMBOLO INTERNACIONAL DE ACESSO CONFORME PROJETO</v>
      </c>
      <c r="E523" s="125">
        <v>1</v>
      </c>
      <c r="F523" s="125"/>
      <c r="G523" s="105">
        <f t="shared" si="41"/>
        <v>0</v>
      </c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5.5" customHeight="1">
      <c r="A524" s="128">
        <v>32.700000000000003</v>
      </c>
      <c r="B524" s="367" t="s">
        <v>287</v>
      </c>
      <c r="C524" s="367" t="s">
        <v>45</v>
      </c>
      <c r="D524" s="259" t="str">
        <f>'Composição de Custos '!D220</f>
        <v>PORTA DE ALUMINIO 90 CM TIPO VENEZIANA COM PUXADOR HORIZONTAL E TARJETA LIVRE/OCUPADO</v>
      </c>
      <c r="E524" s="392">
        <v>1</v>
      </c>
      <c r="F524" s="125"/>
      <c r="G524" s="189">
        <f t="shared" si="41"/>
        <v>0</v>
      </c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2.75" customHeight="1">
      <c r="A525" s="128">
        <v>32.799999999999997</v>
      </c>
      <c r="B525" s="341">
        <v>85005</v>
      </c>
      <c r="C525" s="97" t="s">
        <v>60</v>
      </c>
      <c r="D525" s="103" t="s">
        <v>263</v>
      </c>
      <c r="E525" s="123">
        <f>0.4*0.9</f>
        <v>0.36000000000000004</v>
      </c>
      <c r="F525" s="125"/>
      <c r="G525" s="105">
        <f t="shared" si="41"/>
        <v>0</v>
      </c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2.75" customHeight="1">
      <c r="A526" s="128">
        <v>32.9</v>
      </c>
      <c r="B526" s="144" t="s">
        <v>429</v>
      </c>
      <c r="C526" s="144" t="s">
        <v>45</v>
      </c>
      <c r="D526" s="103" t="str">
        <f>'Composição de Custos '!D513</f>
        <v>RETIRADA DE LOUÇAS SANITÁRIAS</v>
      </c>
      <c r="E526" s="456">
        <v>2</v>
      </c>
      <c r="F526" s="125"/>
      <c r="G526" s="105">
        <f t="shared" si="41"/>
        <v>0</v>
      </c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38.25" customHeight="1">
      <c r="A527" s="368">
        <v>32.1</v>
      </c>
      <c r="B527" s="144" t="str">
        <f>'Composição de Custos '!A415</f>
        <v>C036</v>
      </c>
      <c r="C527" s="144" t="s">
        <v>60</v>
      </c>
      <c r="D527" s="103" t="str">
        <f>'Composição de Custos '!D415</f>
        <v>CONSTRUÇÃO DE ALVENARIA 9X19X19CM, COM REVESTIMENTO CERAMICO 20X20CM,  PARA ADEQUAR BANHEIROS</v>
      </c>
      <c r="E527" s="456">
        <f>1*0.3</f>
        <v>0.3</v>
      </c>
      <c r="F527" s="125"/>
      <c r="G527" s="105">
        <f t="shared" si="41"/>
        <v>0</v>
      </c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4.75" customHeight="1">
      <c r="A528" s="132">
        <v>32.11</v>
      </c>
      <c r="B528" s="133" t="s">
        <v>565</v>
      </c>
      <c r="C528" s="133" t="s">
        <v>45</v>
      </c>
      <c r="D528" s="134" t="str">
        <f>'Composição de Custos '!D957</f>
        <v>LAVATÓRIO LOUÇA BRANCA SUSPENSO, 29,5 X 39CM OU EQUIVALENTE, PADRÃO POPULAR - FORNECIMENTO E INSTALAÇÃO. AF_12/2013</v>
      </c>
      <c r="E528" s="168">
        <v>1</v>
      </c>
      <c r="F528" s="125"/>
      <c r="G528" s="136">
        <f t="shared" si="41"/>
        <v>0</v>
      </c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5.5" customHeight="1">
      <c r="A529" s="128">
        <v>32.119999999999997</v>
      </c>
      <c r="B529" s="97" t="s">
        <v>202</v>
      </c>
      <c r="C529" s="124" t="s">
        <v>45</v>
      </c>
      <c r="D529" s="103" t="str">
        <f>'Composição de Custos '!D99</f>
        <v>TORNEIRA LAVATORIO PRESSMATIC,  VOLANTE TIPO ALAVANCA, PARA LAVATÓRIO DE P.N.E DOCOL OU SIMILAR</v>
      </c>
      <c r="E529" s="123">
        <v>1</v>
      </c>
      <c r="F529" s="125"/>
      <c r="G529" s="105">
        <f t="shared" si="41"/>
        <v>0</v>
      </c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38.25" customHeight="1">
      <c r="A530" s="128">
        <v>32.130000000000003</v>
      </c>
      <c r="B530" s="97" t="s">
        <v>386</v>
      </c>
      <c r="C530" s="124" t="s">
        <v>45</v>
      </c>
      <c r="D530" s="103" t="str">
        <f>'Composição de Custos '!D353</f>
        <v>READEQUAÇÃO DA ALTURA DE APARELHOS SANITÁRIOS   ATRAVÉS DA INSTALAÇÃO DE SÓCULO NA BASE PARA ADEQUAÇÃO DA NORMA DE ACESSIBILIDADE NBR 9050, ITEM 7.3.14</v>
      </c>
      <c r="E530" s="123">
        <v>1</v>
      </c>
      <c r="F530" s="125"/>
      <c r="G530" s="105">
        <f t="shared" si="41"/>
        <v>0</v>
      </c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5.5" customHeight="1">
      <c r="A531" s="128">
        <v>32.14</v>
      </c>
      <c r="B531" s="97" t="s">
        <v>271</v>
      </c>
      <c r="C531" s="124" t="s">
        <v>45</v>
      </c>
      <c r="D531" s="103" t="str">
        <f>'Composição de Custos '!D179</f>
        <v>BARRA DE APOIO RETA, EM ACO INOX POLIDO, COMPRIMENTO 40CM, DIAMETRO MINIMO 3, FIXAÇÃO VERTICAL NA PAREDE</v>
      </c>
      <c r="E531" s="123">
        <v>2</v>
      </c>
      <c r="F531" s="125"/>
      <c r="G531" s="105">
        <f t="shared" si="41"/>
        <v>0</v>
      </c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2.75" customHeight="1">
      <c r="A532" s="128">
        <v>32.15</v>
      </c>
      <c r="B532" s="97" t="str">
        <f>B460</f>
        <v>C013</v>
      </c>
      <c r="C532" s="124" t="s">
        <v>45</v>
      </c>
      <c r="D532" s="103" t="str">
        <f>D460</f>
        <v>BARRA DE APOIO HORIZONTAL, EM AÇO INOX PARA P.N.E L = 80CM (VASO SANITÁRIO) CONFORME NBR 9050</v>
      </c>
      <c r="E532" s="123">
        <v>2</v>
      </c>
      <c r="F532" s="125"/>
      <c r="G532" s="105">
        <f t="shared" si="41"/>
        <v>0</v>
      </c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2.75" customHeight="1">
      <c r="A533" s="128">
        <v>32.159999999999997</v>
      </c>
      <c r="B533" s="97" t="str">
        <f>'Composição de Custos '!A72</f>
        <v>C006</v>
      </c>
      <c r="C533" s="211" t="s">
        <v>674</v>
      </c>
      <c r="D533" s="213" t="str">
        <f>'Composição de Custos '!D72</f>
        <v xml:space="preserve">BARRA DE APOIO EM TUBO DE AÇO INOXIDÁVEL OU ALUMÍNIO, COM 70 CM, DIAM. 30 À 45 MM, FIXAÇÃO VERTICAL OU HORIZONTAL  </v>
      </c>
      <c r="E533" s="216">
        <v>1</v>
      </c>
      <c r="F533" s="125"/>
      <c r="G533" s="105">
        <f t="shared" si="41"/>
        <v>0</v>
      </c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2.75" customHeight="1">
      <c r="A534" s="128">
        <v>32.17</v>
      </c>
      <c r="B534" s="97">
        <v>72897</v>
      </c>
      <c r="C534" s="211" t="s">
        <v>82</v>
      </c>
      <c r="D534" s="213" t="s">
        <v>83</v>
      </c>
      <c r="E534" s="216">
        <v>0.5</v>
      </c>
      <c r="F534" s="125"/>
      <c r="G534" s="105">
        <f t="shared" si="41"/>
        <v>0</v>
      </c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2.75" hidden="1" customHeight="1">
      <c r="A535" s="499">
        <v>36.17</v>
      </c>
      <c r="B535" s="500">
        <v>87775</v>
      </c>
      <c r="C535" s="501" t="s">
        <v>60</v>
      </c>
      <c r="D535" s="504" t="s">
        <v>438</v>
      </c>
      <c r="E535" s="505">
        <v>0.9</v>
      </c>
      <c r="F535" s="506"/>
      <c r="G535" s="507">
        <f t="shared" si="41"/>
        <v>0</v>
      </c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2.75" hidden="1" customHeight="1">
      <c r="A536" s="499">
        <v>36.18</v>
      </c>
      <c r="B536" s="500">
        <v>87264</v>
      </c>
      <c r="C536" s="501" t="s">
        <v>60</v>
      </c>
      <c r="D536" s="504" t="s">
        <v>183</v>
      </c>
      <c r="E536" s="505">
        <v>0.9</v>
      </c>
      <c r="F536" s="506"/>
      <c r="G536" s="507">
        <f t="shared" si="41"/>
        <v>0</v>
      </c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2.75" customHeight="1">
      <c r="A537" s="132">
        <v>32.18</v>
      </c>
      <c r="B537" s="133" t="str">
        <f>B508</f>
        <v>C017.1</v>
      </c>
      <c r="C537" s="324" t="s">
        <v>70</v>
      </c>
      <c r="D537" s="325" t="str">
        <f>D508</f>
        <v xml:space="preserve">ASSENTAMENTO DE SOLEIRA EM GRANITO VERDE UBATUBA, TABEIRA, DEGRAUS E SOLEIRAS, ASSENTADO COM ARGAMASSA AC-III CONFORME PROJETO </v>
      </c>
      <c r="E537" s="345">
        <v>0.3</v>
      </c>
      <c r="F537" s="125"/>
      <c r="G537" s="136">
        <f t="shared" si="41"/>
        <v>0</v>
      </c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2.75" customHeight="1">
      <c r="A538" s="132">
        <v>32.19</v>
      </c>
      <c r="B538" s="133">
        <v>99803</v>
      </c>
      <c r="C538" s="133" t="s">
        <v>82</v>
      </c>
      <c r="D538" s="134" t="s">
        <v>186</v>
      </c>
      <c r="E538" s="135">
        <v>20</v>
      </c>
      <c r="F538" s="125"/>
      <c r="G538" s="136">
        <f t="shared" si="41"/>
        <v>0</v>
      </c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2.75" customHeight="1">
      <c r="A539" s="511"/>
      <c r="B539" s="185"/>
      <c r="C539" s="185"/>
      <c r="D539" s="702" t="s">
        <v>84</v>
      </c>
      <c r="E539" s="703"/>
      <c r="F539" s="704"/>
      <c r="G539" s="230">
        <f>SUM(G518:G538)</f>
        <v>0</v>
      </c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2" customHeight="1">
      <c r="A540" s="95">
        <v>33</v>
      </c>
      <c r="B540" s="696" t="s">
        <v>678</v>
      </c>
      <c r="C540" s="682"/>
      <c r="D540" s="682"/>
      <c r="E540" s="682"/>
      <c r="F540" s="682"/>
      <c r="G540" s="683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5.5" customHeight="1">
      <c r="A541" s="128">
        <v>33.1</v>
      </c>
      <c r="B541" s="97" t="s">
        <v>278</v>
      </c>
      <c r="C541" s="97" t="s">
        <v>45</v>
      </c>
      <c r="D541" s="103" t="str">
        <f>'Composição de Custos '!D199</f>
        <v xml:space="preserve">RETIRADA E ASSENTAMENTO DE SOLEIRA EM GRANITO VERDE UBATUBA, TABEIRA, DEGRAUS E SOLEIRAS, ASSENTADO COM ARGAMASSA AC-III CONFORME PROJETO </v>
      </c>
      <c r="E541" s="129">
        <v>1</v>
      </c>
      <c r="F541" s="125"/>
      <c r="G541" s="105">
        <f t="shared" ref="G541:G542" si="42">F541*E541</f>
        <v>0</v>
      </c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8.5" customHeight="1">
      <c r="A542" s="128">
        <v>33.200000000000003</v>
      </c>
      <c r="B542" s="97" t="s">
        <v>189</v>
      </c>
      <c r="C542" s="124" t="s">
        <v>45</v>
      </c>
      <c r="D542" s="103" t="str">
        <f>'Composição de Custos '!D79</f>
        <v>SUBSTITUIÇÃO DA PORTA SANITÁRIO ACESSÍVEL COM INSTALAÇÃO DE CHAPA ( 2 lados) E PUXADOR HORIZONTAL( COMPRIMENTO 45CM E DIAM. 3CM)  PORTA DE 90</v>
      </c>
      <c r="E542" s="456">
        <v>1</v>
      </c>
      <c r="F542" s="125"/>
      <c r="G542" s="105">
        <f t="shared" si="42"/>
        <v>0</v>
      </c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38.25" customHeight="1">
      <c r="A543" s="128">
        <v>33.299999999999997</v>
      </c>
      <c r="B543" s="97">
        <v>97622</v>
      </c>
      <c r="C543" s="97" t="s">
        <v>82</v>
      </c>
      <c r="D543" s="103" t="s">
        <v>585</v>
      </c>
      <c r="E543" s="286">
        <f>0.1*2.1*0.15</f>
        <v>3.15E-2</v>
      </c>
      <c r="F543" s="125"/>
      <c r="G543" s="256">
        <f>E543*F543</f>
        <v>0</v>
      </c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38.25" customHeight="1">
      <c r="A544" s="128">
        <v>33.4</v>
      </c>
      <c r="B544" s="97">
        <v>87274</v>
      </c>
      <c r="C544" s="97" t="s">
        <v>60</v>
      </c>
      <c r="D544" s="103" t="s">
        <v>290</v>
      </c>
      <c r="E544" s="286">
        <f>0.33*1.6</f>
        <v>0.52800000000000002</v>
      </c>
      <c r="F544" s="125"/>
      <c r="G544" s="256">
        <f t="shared" ref="G544:G570" si="43">F544*E544</f>
        <v>0</v>
      </c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38.25" customHeight="1">
      <c r="A545" s="128">
        <v>33.5</v>
      </c>
      <c r="B545" s="97">
        <v>90830</v>
      </c>
      <c r="C545" s="97" t="s">
        <v>45</v>
      </c>
      <c r="D545" s="103" t="s">
        <v>295</v>
      </c>
      <c r="E545" s="190">
        <v>1</v>
      </c>
      <c r="F545" s="125"/>
      <c r="G545" s="105">
        <f t="shared" si="43"/>
        <v>0</v>
      </c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5.5" customHeight="1">
      <c r="A546" s="128">
        <v>33.6</v>
      </c>
      <c r="B546" s="133" t="s">
        <v>230</v>
      </c>
      <c r="C546" s="124" t="s">
        <v>45</v>
      </c>
      <c r="D546" s="103" t="str">
        <f>'Composição de Custos '!D279</f>
        <v>PLACA DE SINALIZAÇÃO EM BRAILLE E AUTORELEVO 20 X 40 - ACRILICO COM SIMBOLO INTERNACIONAL DE ACESSO CONFORME PROJETO</v>
      </c>
      <c r="E546" s="125">
        <v>1</v>
      </c>
      <c r="F546" s="125"/>
      <c r="G546" s="105">
        <f t="shared" si="43"/>
        <v>0</v>
      </c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5.5" customHeight="1">
      <c r="A547" s="128">
        <v>33.700000000000003</v>
      </c>
      <c r="B547" s="124" t="str">
        <f>'Composição de Custos '!A302</f>
        <v>C024.1</v>
      </c>
      <c r="C547" s="124" t="s">
        <v>70</v>
      </c>
      <c r="D547" s="279" t="str">
        <f>'Composição de Custos '!D302</f>
        <v>BANCO DE CONCRETO ACESSÍVEL  - FORNECIMENTO E INSTALAÇÃO COM ACABAMENTO EM REVESTIMENTO CERÂMICOCONFORME PROJETO ARQUITETONICO</v>
      </c>
      <c r="E547" s="257">
        <v>1.5</v>
      </c>
      <c r="F547" s="125"/>
      <c r="G547" s="105">
        <f t="shared" si="43"/>
        <v>0</v>
      </c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5.5" customHeight="1">
      <c r="A548" s="128">
        <v>33.799999999999997</v>
      </c>
      <c r="B548" s="97">
        <v>84665</v>
      </c>
      <c r="C548" s="97" t="s">
        <v>60</v>
      </c>
      <c r="D548" s="193" t="s">
        <v>298</v>
      </c>
      <c r="E548" s="190">
        <v>0.2</v>
      </c>
      <c r="F548" s="125"/>
      <c r="G548" s="105">
        <f t="shared" si="43"/>
        <v>0</v>
      </c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5.5" customHeight="1">
      <c r="A549" s="128">
        <v>33.9</v>
      </c>
      <c r="B549" s="97">
        <v>84665</v>
      </c>
      <c r="C549" s="97" t="s">
        <v>60</v>
      </c>
      <c r="D549" s="193" t="s">
        <v>299</v>
      </c>
      <c r="E549" s="190">
        <v>0.76</v>
      </c>
      <c r="F549" s="125"/>
      <c r="G549" s="105">
        <f t="shared" si="43"/>
        <v>0</v>
      </c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2.75" customHeight="1">
      <c r="A550" s="368">
        <v>33.1</v>
      </c>
      <c r="B550" s="97" t="s">
        <v>233</v>
      </c>
      <c r="C550" s="124" t="s">
        <v>60</v>
      </c>
      <c r="D550" s="103" t="str">
        <f>'Composição de Custos '!D502</f>
        <v>RETIRADA DE CHAPA DE GRANITO DE BOX DE BANHEIRO COMO REAPROVEITAMENTO</v>
      </c>
      <c r="E550" s="257">
        <f>1.8*0.9</f>
        <v>1.62</v>
      </c>
      <c r="F550" s="125"/>
      <c r="G550" s="105">
        <f t="shared" si="43"/>
        <v>0</v>
      </c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2.75" customHeight="1">
      <c r="A551" s="128">
        <v>33.11</v>
      </c>
      <c r="B551" s="124" t="s">
        <v>423</v>
      </c>
      <c r="C551" s="124" t="s">
        <v>60</v>
      </c>
      <c r="D551" s="170" t="str">
        <f>'Composição de Custos '!D415</f>
        <v>CONSTRUÇÃO DE ALVENARIA 9X19X19CM, COM REVESTIMENTO CERAMICO 20X20CM,  PARA ADEQUAR BANHEIROS</v>
      </c>
      <c r="E551" s="456">
        <f>1.8*1.32</f>
        <v>2.3760000000000003</v>
      </c>
      <c r="F551" s="125"/>
      <c r="G551" s="105">
        <f t="shared" si="43"/>
        <v>0</v>
      </c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2.75" customHeight="1">
      <c r="A552" s="128">
        <v>33.119999999999997</v>
      </c>
      <c r="B552" s="97" t="s">
        <v>316</v>
      </c>
      <c r="C552" s="124" t="s">
        <v>70</v>
      </c>
      <c r="D552" s="103" t="str">
        <f>'Composição de Custos '!D450</f>
        <v>FILETE DE GRANITO BOX CHUVEIRO  H=2CM</v>
      </c>
      <c r="E552" s="125">
        <v>0.9</v>
      </c>
      <c r="F552" s="125"/>
      <c r="G552" s="105">
        <f t="shared" si="43"/>
        <v>0</v>
      </c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5.5" customHeight="1">
      <c r="A553" s="128">
        <v>33.130000000000003</v>
      </c>
      <c r="B553" s="97" t="s">
        <v>184</v>
      </c>
      <c r="C553" s="97" t="s">
        <v>45</v>
      </c>
      <c r="D553" s="103" t="s">
        <v>688</v>
      </c>
      <c r="E553" s="257">
        <v>3</v>
      </c>
      <c r="F553" s="125"/>
      <c r="G553" s="105">
        <f t="shared" si="43"/>
        <v>0</v>
      </c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7.75" customHeight="1">
      <c r="A554" s="128">
        <v>33.14</v>
      </c>
      <c r="B554" s="97" t="s">
        <v>254</v>
      </c>
      <c r="C554" s="124" t="s">
        <v>45</v>
      </c>
      <c r="D554" s="103" t="str">
        <f>'Composição de Custos '!D150</f>
        <v xml:space="preserve">FORNECIMENTO E INSTALAÇÃO DE BANCO ARTICULADO EM AÇO INOX 70X45 CM, PARA BANHO PNE </v>
      </c>
      <c r="E554" s="257">
        <v>1</v>
      </c>
      <c r="F554" s="125"/>
      <c r="G554" s="105">
        <f t="shared" si="43"/>
        <v>0</v>
      </c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2.75" customHeight="1">
      <c r="A555" s="128">
        <v>33.15</v>
      </c>
      <c r="B555" s="97" t="s">
        <v>236</v>
      </c>
      <c r="C555" s="124" t="s">
        <v>45</v>
      </c>
      <c r="D555" s="103" t="str">
        <f>'Composição de Custos '!D134</f>
        <v>INSTALAÇÃO DE CHUVEIRO ELETRICO, INCLUINDO MUDANÇA DE PONTO HIDRÁULICO</v>
      </c>
      <c r="E555" s="125">
        <v>1</v>
      </c>
      <c r="F555" s="125"/>
      <c r="G555" s="105">
        <f t="shared" si="43"/>
        <v>0</v>
      </c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5.5" customHeight="1">
      <c r="A556" s="128">
        <v>33.159999999999997</v>
      </c>
      <c r="B556" s="144" t="str">
        <f>'Composição de Custos '!A258</f>
        <v>C021.5</v>
      </c>
      <c r="C556" s="144" t="s">
        <v>45</v>
      </c>
      <c r="D556" s="103" t="str">
        <f>'Composição de Custos '!D258</f>
        <v>INVERTER ABERTURA DA PORTA E INSTALAR PUXADOR HORIZONTAL E TARJETA LIVRE/OCUPADO</v>
      </c>
      <c r="E556" s="257">
        <v>2</v>
      </c>
      <c r="F556" s="125"/>
      <c r="G556" s="105">
        <f t="shared" si="43"/>
        <v>0</v>
      </c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2.75" customHeight="1">
      <c r="A557" s="128">
        <v>33.17</v>
      </c>
      <c r="B557" s="144" t="s">
        <v>429</v>
      </c>
      <c r="C557" s="144" t="s">
        <v>45</v>
      </c>
      <c r="D557" s="134" t="str">
        <f>'Composição de Custos '!D513</f>
        <v>RETIRADA DE LOUÇAS SANITÁRIAS</v>
      </c>
      <c r="E557" s="178">
        <v>2</v>
      </c>
      <c r="F557" s="125"/>
      <c r="G557" s="136">
        <f t="shared" si="43"/>
        <v>0</v>
      </c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5.5" customHeight="1">
      <c r="A558" s="128">
        <v>33.18</v>
      </c>
      <c r="B558" s="124">
        <v>72179</v>
      </c>
      <c r="C558" s="124" t="s">
        <v>60</v>
      </c>
      <c r="D558" s="279" t="s">
        <v>691</v>
      </c>
      <c r="E558" s="439">
        <v>1.8</v>
      </c>
      <c r="F558" s="125"/>
      <c r="G558" s="105">
        <f t="shared" si="43"/>
        <v>0</v>
      </c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38.25" customHeight="1">
      <c r="A559" s="368">
        <v>33.19</v>
      </c>
      <c r="B559" s="97" t="s">
        <v>386</v>
      </c>
      <c r="C559" s="124" t="s">
        <v>45</v>
      </c>
      <c r="D559" s="103" t="str">
        <f>'Composição de Custos '!D353</f>
        <v>READEQUAÇÃO DA ALTURA DE APARELHOS SANITÁRIOS   ATRAVÉS DA INSTALAÇÃO DE SÓCULO NA BASE PARA ADEQUAÇÃO DA NORMA DE ACESSIBILIDADE NBR 9050, ITEM 7.3.14</v>
      </c>
      <c r="E559" s="257">
        <v>1</v>
      </c>
      <c r="F559" s="125"/>
      <c r="G559" s="105">
        <f t="shared" si="43"/>
        <v>0</v>
      </c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5.5" customHeight="1">
      <c r="A560" s="368">
        <v>33.200000000000003</v>
      </c>
      <c r="B560" s="97" t="s">
        <v>257</v>
      </c>
      <c r="C560" s="124" t="s">
        <v>45</v>
      </c>
      <c r="D560" s="103" t="str">
        <f>'Composição de Custos '!D158</f>
        <v>BARRA DE APOIO HORIZONTAL, EM AÇO INOX PARA P.N.E L = 80CM (VASO SANITÁRIO) CONFORME NBR 9050</v>
      </c>
      <c r="E560" s="456">
        <v>2</v>
      </c>
      <c r="F560" s="125"/>
      <c r="G560" s="105">
        <f t="shared" si="43"/>
        <v>0</v>
      </c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3.5" customHeight="1">
      <c r="A561" s="128">
        <v>33.21</v>
      </c>
      <c r="B561" s="97" t="s">
        <v>218</v>
      </c>
      <c r="C561" s="124" t="s">
        <v>45</v>
      </c>
      <c r="D561" s="103" t="str">
        <f>'Composição de Custos '!D107</f>
        <v>TOALHEIRO PLASTICO TIPO DISPENSER PARA PAPEL TOALHA INTERFOLHADO</v>
      </c>
      <c r="E561" s="257">
        <v>1</v>
      </c>
      <c r="F561" s="125"/>
      <c r="G561" s="105">
        <f t="shared" si="43"/>
        <v>0</v>
      </c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5.5" customHeight="1">
      <c r="A562" s="128">
        <v>33.22</v>
      </c>
      <c r="B562" s="97" t="s">
        <v>220</v>
      </c>
      <c r="C562" s="97" t="s">
        <v>45</v>
      </c>
      <c r="D562" s="103" t="str">
        <f>'Composição de Custos '!D112</f>
        <v>SABONETEIRA PLASTICA TIPO DISPENSER PARA SABONETE LIQUIDO COM RESERVATORIO 800 A 1500 ML</v>
      </c>
      <c r="E562" s="257">
        <v>1</v>
      </c>
      <c r="F562" s="125"/>
      <c r="G562" s="105">
        <f t="shared" si="43"/>
        <v>0</v>
      </c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7.75" customHeight="1">
      <c r="A563" s="128">
        <v>33.229999999999997</v>
      </c>
      <c r="B563" s="97" t="s">
        <v>223</v>
      </c>
      <c r="C563" s="124" t="s">
        <v>45</v>
      </c>
      <c r="D563" s="103" t="str">
        <f>'Composição de Custos '!D117</f>
        <v>TOALHEIRO PLASTICO TIPO DISPENSER PARA PAPEL TOALHA INTERFOLHADO PARA BOX SANITÁRIO</v>
      </c>
      <c r="E563" s="257">
        <v>1</v>
      </c>
      <c r="F563" s="125"/>
      <c r="G563" s="105">
        <f t="shared" si="43"/>
        <v>0</v>
      </c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9.25" customHeight="1">
      <c r="A564" s="128">
        <v>33.24</v>
      </c>
      <c r="B564" s="97" t="s">
        <v>202</v>
      </c>
      <c r="C564" s="124" t="s">
        <v>45</v>
      </c>
      <c r="D564" s="103" t="str">
        <f>'Composição de Custos '!D99</f>
        <v>TORNEIRA LAVATORIO PRESSMATIC,  VOLANTE TIPO ALAVANCA, PARA LAVATÓRIO DE P.N.E DOCOL OU SIMILAR</v>
      </c>
      <c r="E564" s="125">
        <v>1</v>
      </c>
      <c r="F564" s="125"/>
      <c r="G564" s="105">
        <f t="shared" si="43"/>
        <v>0</v>
      </c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5.5" customHeight="1">
      <c r="A565" s="128">
        <v>33.25</v>
      </c>
      <c r="B565" s="97" t="s">
        <v>271</v>
      </c>
      <c r="C565" s="124" t="s">
        <v>45</v>
      </c>
      <c r="D565" s="103" t="str">
        <f>'Composição de Custos '!D179</f>
        <v>BARRA DE APOIO RETA, EM ACO INOX POLIDO, COMPRIMENTO 40CM, DIAMETRO MINIMO 3, FIXAÇÃO VERTICAL NA PAREDE</v>
      </c>
      <c r="E565" s="216">
        <v>3</v>
      </c>
      <c r="F565" s="125"/>
      <c r="G565" s="256">
        <f t="shared" si="43"/>
        <v>0</v>
      </c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" customHeight="1">
      <c r="A566" s="128">
        <v>33.26</v>
      </c>
      <c r="B566" s="97">
        <v>85005</v>
      </c>
      <c r="C566" s="97" t="s">
        <v>60</v>
      </c>
      <c r="D566" s="103" t="s">
        <v>263</v>
      </c>
      <c r="E566" s="125">
        <f>0.4*0.9</f>
        <v>0.36000000000000004</v>
      </c>
      <c r="F566" s="125"/>
      <c r="G566" s="105">
        <f t="shared" si="43"/>
        <v>0</v>
      </c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2.75" customHeight="1">
      <c r="A567" s="368">
        <v>33.270000000000003</v>
      </c>
      <c r="B567" s="97">
        <v>72897</v>
      </c>
      <c r="C567" s="211" t="s">
        <v>82</v>
      </c>
      <c r="D567" s="213" t="s">
        <v>83</v>
      </c>
      <c r="E567" s="216">
        <v>1</v>
      </c>
      <c r="F567" s="125"/>
      <c r="G567" s="105">
        <f t="shared" si="43"/>
        <v>0</v>
      </c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7" customHeight="1">
      <c r="A568" s="132">
        <v>33.28</v>
      </c>
      <c r="B568" s="133">
        <v>87249</v>
      </c>
      <c r="C568" s="324" t="s">
        <v>60</v>
      </c>
      <c r="D568" s="325" t="s">
        <v>344</v>
      </c>
      <c r="E568" s="345">
        <v>2.65</v>
      </c>
      <c r="F568" s="125"/>
      <c r="G568" s="136">
        <f t="shared" si="43"/>
        <v>0</v>
      </c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2.75" customHeight="1">
      <c r="A569" s="132">
        <v>33.29</v>
      </c>
      <c r="B569" s="133" t="s">
        <v>140</v>
      </c>
      <c r="C569" s="324" t="s">
        <v>125</v>
      </c>
      <c r="D569" s="325" t="s">
        <v>167</v>
      </c>
      <c r="E569" s="345">
        <v>1</v>
      </c>
      <c r="F569" s="125"/>
      <c r="G569" s="136">
        <f t="shared" si="43"/>
        <v>0</v>
      </c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2.75" customHeight="1">
      <c r="A570" s="179">
        <v>33.299999999999997</v>
      </c>
      <c r="B570" s="133">
        <v>99803</v>
      </c>
      <c r="C570" s="133" t="s">
        <v>82</v>
      </c>
      <c r="D570" s="134" t="s">
        <v>186</v>
      </c>
      <c r="E570" s="135">
        <v>30</v>
      </c>
      <c r="F570" s="125"/>
      <c r="G570" s="136">
        <f t="shared" si="43"/>
        <v>0</v>
      </c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1.25" customHeight="1">
      <c r="A571" s="511"/>
      <c r="B571" s="185"/>
      <c r="C571" s="185"/>
      <c r="D571" s="702" t="s">
        <v>84</v>
      </c>
      <c r="E571" s="703"/>
      <c r="F571" s="704"/>
      <c r="G571" s="230">
        <f>SUM(G541:G570)</f>
        <v>0</v>
      </c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>
      <c r="A572" s="95">
        <v>34</v>
      </c>
      <c r="B572" s="696" t="s">
        <v>704</v>
      </c>
      <c r="C572" s="682"/>
      <c r="D572" s="682"/>
      <c r="E572" s="682"/>
      <c r="F572" s="682"/>
      <c r="G572" s="683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5.5" customHeight="1">
      <c r="A573" s="128">
        <v>34.1</v>
      </c>
      <c r="B573" s="97" t="s">
        <v>278</v>
      </c>
      <c r="C573" s="97" t="s">
        <v>45</v>
      </c>
      <c r="D573" s="103" t="str">
        <f>'Composição de Custos '!D199</f>
        <v xml:space="preserve">RETIRADA E ASSENTAMENTO DE SOLEIRA EM GRANITO VERDE UBATUBA, TABEIRA, DEGRAUS E SOLEIRAS, ASSENTADO COM ARGAMASSA AC-III CONFORME PROJETO </v>
      </c>
      <c r="E573" s="129">
        <v>1</v>
      </c>
      <c r="F573" s="125"/>
      <c r="G573" s="105">
        <f t="shared" ref="G573:G574" si="44">F573*E573</f>
        <v>0</v>
      </c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6.25" customHeight="1">
      <c r="A574" s="128">
        <v>34.200000000000003</v>
      </c>
      <c r="B574" s="97" t="s">
        <v>189</v>
      </c>
      <c r="C574" s="124" t="s">
        <v>45</v>
      </c>
      <c r="D574" s="103" t="str">
        <f>'Composição de Custos '!D79</f>
        <v>SUBSTITUIÇÃO DA PORTA SANITÁRIO ACESSÍVEL COM INSTALAÇÃO DE CHAPA ( 2 lados) E PUXADOR HORIZONTAL( COMPRIMENTO 45CM E DIAM. 3CM)  PORTA DE 90</v>
      </c>
      <c r="E574" s="129">
        <v>1</v>
      </c>
      <c r="F574" s="125"/>
      <c r="G574" s="105">
        <f t="shared" si="44"/>
        <v>0</v>
      </c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38.25" customHeight="1">
      <c r="A575" s="128">
        <v>34.299999999999997</v>
      </c>
      <c r="B575" s="97">
        <v>97622</v>
      </c>
      <c r="C575" s="97" t="s">
        <v>82</v>
      </c>
      <c r="D575" s="103" t="s">
        <v>585</v>
      </c>
      <c r="E575" s="286">
        <f>0.1*2.1*0.15</f>
        <v>3.15E-2</v>
      </c>
      <c r="F575" s="125"/>
      <c r="G575" s="256">
        <f>E575*F575</f>
        <v>0</v>
      </c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38.25" customHeight="1">
      <c r="A576" s="128">
        <v>34.4</v>
      </c>
      <c r="B576" s="97">
        <v>87274</v>
      </c>
      <c r="C576" s="97" t="s">
        <v>60</v>
      </c>
      <c r="D576" s="103" t="s">
        <v>290</v>
      </c>
      <c r="E576" s="286">
        <f>0.33*1.6</f>
        <v>0.52800000000000002</v>
      </c>
      <c r="F576" s="125"/>
      <c r="G576" s="256">
        <f t="shared" ref="G576:G605" si="45">F576*E576</f>
        <v>0</v>
      </c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38.25" customHeight="1">
      <c r="A577" s="128">
        <v>34.5</v>
      </c>
      <c r="B577" s="97">
        <v>90830</v>
      </c>
      <c r="C577" s="124" t="s">
        <v>45</v>
      </c>
      <c r="D577" s="103" t="s">
        <v>295</v>
      </c>
      <c r="E577" s="190">
        <v>1</v>
      </c>
      <c r="F577" s="125"/>
      <c r="G577" s="105">
        <f t="shared" si="45"/>
        <v>0</v>
      </c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" customHeight="1">
      <c r="A578" s="128">
        <v>34.6</v>
      </c>
      <c r="B578" s="133" t="s">
        <v>230</v>
      </c>
      <c r="C578" s="124" t="s">
        <v>45</v>
      </c>
      <c r="D578" s="103" t="str">
        <f>'Composição de Custos '!D279</f>
        <v>PLACA DE SINALIZAÇÃO EM BRAILLE E AUTORELEVO 20 X 40 - ACRILICO COM SIMBOLO INTERNACIONAL DE ACESSO CONFORME PROJETO</v>
      </c>
      <c r="E578" s="125">
        <v>1</v>
      </c>
      <c r="F578" s="125"/>
      <c r="G578" s="105">
        <f t="shared" si="45"/>
        <v>0</v>
      </c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5.5" customHeight="1">
      <c r="A579" s="132">
        <v>34.700000000000003</v>
      </c>
      <c r="B579" s="133" t="str">
        <f>'Composição de Custos '!A302</f>
        <v>C024.1</v>
      </c>
      <c r="C579" s="133" t="s">
        <v>60</v>
      </c>
      <c r="D579" s="563" t="str">
        <f>'Composição de Custos '!D302</f>
        <v>BANCO DE CONCRETO ACESSÍVEL  - FORNECIMENTO E INSTALAÇÃO COM ACABAMENTO EM REVESTIMENTO CERÂMICOCONFORME PROJETO ARQUITETONICO</v>
      </c>
      <c r="E579" s="135">
        <v>1.5</v>
      </c>
      <c r="F579" s="125"/>
      <c r="G579" s="136">
        <f t="shared" si="45"/>
        <v>0</v>
      </c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5.5" customHeight="1">
      <c r="A580" s="128">
        <v>34.799999999999997</v>
      </c>
      <c r="B580" s="97">
        <v>84665</v>
      </c>
      <c r="C580" s="97" t="s">
        <v>60</v>
      </c>
      <c r="D580" s="193" t="s">
        <v>298</v>
      </c>
      <c r="E580" s="190">
        <v>0.2</v>
      </c>
      <c r="F580" s="125"/>
      <c r="G580" s="105">
        <f t="shared" si="45"/>
        <v>0</v>
      </c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5.5" customHeight="1">
      <c r="A581" s="128">
        <v>34.9</v>
      </c>
      <c r="B581" s="97">
        <v>84665</v>
      </c>
      <c r="C581" s="97" t="s">
        <v>60</v>
      </c>
      <c r="D581" s="193" t="s">
        <v>299</v>
      </c>
      <c r="E581" s="190">
        <v>0.76</v>
      </c>
      <c r="F581" s="125"/>
      <c r="G581" s="105">
        <f t="shared" si="45"/>
        <v>0</v>
      </c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2.75" customHeight="1">
      <c r="A582" s="368">
        <v>34.1</v>
      </c>
      <c r="B582" s="97" t="s">
        <v>233</v>
      </c>
      <c r="C582" s="124" t="s">
        <v>60</v>
      </c>
      <c r="D582" s="103" t="str">
        <f>'Composição de Custos '!D502</f>
        <v>RETIRADA DE CHAPA DE GRANITO DE BOX DE BANHEIRO COMO REAPROVEITAMENTO</v>
      </c>
      <c r="E582" s="257">
        <f t="shared" ref="E582:E583" si="46">E550</f>
        <v>1.62</v>
      </c>
      <c r="F582" s="125"/>
      <c r="G582" s="105">
        <f t="shared" si="45"/>
        <v>0</v>
      </c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2.75" customHeight="1">
      <c r="A583" s="128">
        <v>34.11</v>
      </c>
      <c r="B583" s="124" t="s">
        <v>423</v>
      </c>
      <c r="C583" s="124" t="s">
        <v>60</v>
      </c>
      <c r="D583" s="170" t="str">
        <f>'Composição de Custos '!D415</f>
        <v>CONSTRUÇÃO DE ALVENARIA 9X19X19CM, COM REVESTIMENTO CERAMICO 20X20CM,  PARA ADEQUAR BANHEIROS</v>
      </c>
      <c r="E583" s="456">
        <f t="shared" si="46"/>
        <v>2.3760000000000003</v>
      </c>
      <c r="F583" s="125"/>
      <c r="G583" s="105">
        <f t="shared" si="45"/>
        <v>0</v>
      </c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3.5" customHeight="1">
      <c r="A584" s="128">
        <v>34.119999999999997</v>
      </c>
      <c r="B584" s="97" t="str">
        <f>'Composição de Custos '!A258</f>
        <v>C021.5</v>
      </c>
      <c r="C584" s="97" t="str">
        <f>'Composição de Custos '!C220</f>
        <v>UN</v>
      </c>
      <c r="D584" s="125" t="str">
        <f>'Composição de Custos '!D258</f>
        <v>INVERTER ABERTURA DA PORTA E INSTALAR PUXADOR HORIZONTAL E TARJETA LIVRE/OCUPADO</v>
      </c>
      <c r="E584" s="257">
        <v>2</v>
      </c>
      <c r="F584" s="125"/>
      <c r="G584" s="105">
        <f t="shared" si="45"/>
        <v>0</v>
      </c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3.5" customHeight="1">
      <c r="A585" s="368">
        <v>34.130000000000003</v>
      </c>
      <c r="B585" s="97" t="s">
        <v>395</v>
      </c>
      <c r="C585" s="97" t="s">
        <v>60</v>
      </c>
      <c r="D585" s="125" t="str">
        <f>'Composição de Custos '!D368</f>
        <v>DIVISÓRIA EM GRANITO, COM DUAS FACES POLIDAS, COR CINZA,  PARA INSTALAÇÃO EM BOXES DE BANHEIRO</v>
      </c>
      <c r="E585" s="257">
        <f>0.4*1.2*2</f>
        <v>0.96</v>
      </c>
      <c r="F585" s="125"/>
      <c r="G585" s="105">
        <f t="shared" si="45"/>
        <v>0</v>
      </c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5.5" customHeight="1">
      <c r="A586" s="128">
        <v>34.14</v>
      </c>
      <c r="B586" s="258" t="s">
        <v>271</v>
      </c>
      <c r="C586" s="124" t="s">
        <v>45</v>
      </c>
      <c r="D586" s="153" t="str">
        <f>'Composição de Custos '!D179</f>
        <v>BARRA DE APOIO RETA, EM ACO INOX POLIDO, COMPRIMENTO 40CM, DIAMETRO MINIMO 3, FIXAÇÃO VERTICAL NA PAREDE</v>
      </c>
      <c r="E586" s="439">
        <v>2</v>
      </c>
      <c r="F586" s="125"/>
      <c r="G586" s="105">
        <f t="shared" si="45"/>
        <v>0</v>
      </c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2.75" customHeight="1">
      <c r="A587" s="132">
        <v>34.15</v>
      </c>
      <c r="B587" s="133" t="str">
        <f>'Composição de Custos '!A575</f>
        <v>C058.1</v>
      </c>
      <c r="C587" s="133" t="s">
        <v>45</v>
      </c>
      <c r="D587" s="134" t="str">
        <f>'Composição de Custos '!D575</f>
        <v>ADEQUAÇÃO PONTO VALVULA MICTORIO  SEM SUBSTITUIÇÃO DE VALVULA</v>
      </c>
      <c r="E587" s="136">
        <v>1</v>
      </c>
      <c r="F587" s="125"/>
      <c r="G587" s="136">
        <f t="shared" si="45"/>
        <v>0</v>
      </c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5.5" customHeight="1">
      <c r="A588" s="368">
        <v>34.159999999999997</v>
      </c>
      <c r="B588" s="124">
        <v>72179</v>
      </c>
      <c r="C588" s="124" t="s">
        <v>60</v>
      </c>
      <c r="D588" s="279" t="s">
        <v>691</v>
      </c>
      <c r="E588" s="439">
        <f>2.7*1.8</f>
        <v>4.8600000000000003</v>
      </c>
      <c r="F588" s="125"/>
      <c r="G588" s="105">
        <f t="shared" si="45"/>
        <v>0</v>
      </c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6.25" customHeight="1">
      <c r="A589" s="128">
        <v>34.17</v>
      </c>
      <c r="B589" s="97" t="s">
        <v>316</v>
      </c>
      <c r="C589" s="124" t="s">
        <v>70</v>
      </c>
      <c r="D589" s="103" t="str">
        <f>'Composição de Custos '!D450</f>
        <v>FILETE DE GRANITO BOX CHUVEIRO  H=2CM</v>
      </c>
      <c r="E589" s="125">
        <v>0.9</v>
      </c>
      <c r="F589" s="125"/>
      <c r="G589" s="105">
        <f t="shared" si="45"/>
        <v>0</v>
      </c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5.5" customHeight="1">
      <c r="A590" s="128">
        <v>34.18</v>
      </c>
      <c r="B590" s="97" t="s">
        <v>184</v>
      </c>
      <c r="C590" s="124" t="s">
        <v>45</v>
      </c>
      <c r="D590" s="103" t="str">
        <f>'Composição de Custos '!D72</f>
        <v xml:space="preserve">BARRA DE APOIO EM TUBO DE AÇO INOXIDÁVEL OU ALUMÍNIO, COM 70 CM, DIAM. 30 À 45 MM, FIXAÇÃO VERTICAL OU HORIZONTAL  </v>
      </c>
      <c r="E590" s="257">
        <v>5</v>
      </c>
      <c r="F590" s="125"/>
      <c r="G590" s="105">
        <f t="shared" si="45"/>
        <v>0</v>
      </c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7.75" customHeight="1">
      <c r="A591" s="368">
        <v>34.19</v>
      </c>
      <c r="B591" s="97" t="s">
        <v>254</v>
      </c>
      <c r="C591" s="124" t="s">
        <v>45</v>
      </c>
      <c r="D591" s="103" t="str">
        <f>'Composição de Custos '!D150</f>
        <v xml:space="preserve">FORNECIMENTO E INSTALAÇÃO DE BANCO ARTICULADO EM AÇO INOX 70X45 CM, PARA BANHO PNE </v>
      </c>
      <c r="E591" s="257">
        <v>1</v>
      </c>
      <c r="F591" s="125"/>
      <c r="G591" s="105">
        <f t="shared" si="45"/>
        <v>0</v>
      </c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2.75" customHeight="1">
      <c r="A592" s="368">
        <v>34.200000000000003</v>
      </c>
      <c r="B592" s="97" t="s">
        <v>236</v>
      </c>
      <c r="C592" s="124" t="s">
        <v>45</v>
      </c>
      <c r="D592" s="103" t="str">
        <f>'Composição de Custos '!D134</f>
        <v>INSTALAÇÃO DE CHUVEIRO ELETRICO, INCLUINDO MUDANÇA DE PONTO HIDRÁULICO</v>
      </c>
      <c r="E592" s="125">
        <v>1</v>
      </c>
      <c r="F592" s="125"/>
      <c r="G592" s="105">
        <f t="shared" si="45"/>
        <v>0</v>
      </c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2.75" customHeight="1">
      <c r="A593" s="128">
        <v>34.21</v>
      </c>
      <c r="B593" s="97" t="s">
        <v>429</v>
      </c>
      <c r="C593" s="124" t="s">
        <v>45</v>
      </c>
      <c r="D593" s="103" t="str">
        <f>'Composição de Custos '!D513</f>
        <v>RETIRADA DE LOUÇAS SANITÁRIAS</v>
      </c>
      <c r="E593" s="439">
        <v>1</v>
      </c>
      <c r="F593" s="125"/>
      <c r="G593" s="105">
        <f t="shared" si="45"/>
        <v>0</v>
      </c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38.25" customHeight="1">
      <c r="A594" s="128">
        <v>34.22</v>
      </c>
      <c r="B594" s="97" t="s">
        <v>386</v>
      </c>
      <c r="C594" s="124" t="s">
        <v>45</v>
      </c>
      <c r="D594" s="103" t="str">
        <f>'Composição de Custos '!D353</f>
        <v>READEQUAÇÃO DA ALTURA DE APARELHOS SANITÁRIOS   ATRAVÉS DA INSTALAÇÃO DE SÓCULO NA BASE PARA ADEQUAÇÃO DA NORMA DE ACESSIBILIDADE NBR 9050, ITEM 7.3.14</v>
      </c>
      <c r="E594" s="439">
        <v>1</v>
      </c>
      <c r="F594" s="125"/>
      <c r="G594" s="105">
        <f t="shared" si="45"/>
        <v>0</v>
      </c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5.5" customHeight="1">
      <c r="A595" s="128">
        <v>34.229999999999997</v>
      </c>
      <c r="B595" s="97" t="s">
        <v>257</v>
      </c>
      <c r="C595" s="124" t="s">
        <v>45</v>
      </c>
      <c r="D595" s="103" t="str">
        <f>'Composição de Custos '!D158</f>
        <v>BARRA DE APOIO HORIZONTAL, EM AÇO INOX PARA P.N.E L = 80CM (VASO SANITÁRIO) CONFORME NBR 9050</v>
      </c>
      <c r="E595" s="129">
        <v>2</v>
      </c>
      <c r="F595" s="125"/>
      <c r="G595" s="105">
        <f t="shared" si="45"/>
        <v>0</v>
      </c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5.5" customHeight="1">
      <c r="A596" s="368">
        <v>34.24</v>
      </c>
      <c r="B596" s="97" t="s">
        <v>271</v>
      </c>
      <c r="C596" s="124" t="s">
        <v>45</v>
      </c>
      <c r="D596" s="103" t="str">
        <f>'Composição de Custos '!D179</f>
        <v>BARRA DE APOIO RETA, EM ACO INOX POLIDO, COMPRIMENTO 40CM, DIAMETRO MINIMO 3, FIXAÇÃO VERTICAL NA PAREDE</v>
      </c>
      <c r="E596" s="424">
        <v>3</v>
      </c>
      <c r="F596" s="125"/>
      <c r="G596" s="256">
        <f t="shared" si="45"/>
        <v>0</v>
      </c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2.75" customHeight="1">
      <c r="A597" s="128">
        <v>34.25</v>
      </c>
      <c r="B597" s="97" t="s">
        <v>218</v>
      </c>
      <c r="C597" s="124" t="s">
        <v>45</v>
      </c>
      <c r="D597" s="103" t="str">
        <f>'Composição de Custos '!D107</f>
        <v>TOALHEIRO PLASTICO TIPO DISPENSER PARA PAPEL TOALHA INTERFOLHADO</v>
      </c>
      <c r="E597" s="439">
        <v>1</v>
      </c>
      <c r="F597" s="125"/>
      <c r="G597" s="105">
        <f t="shared" si="45"/>
        <v>0</v>
      </c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5.5" customHeight="1">
      <c r="A598" s="128">
        <v>34.26</v>
      </c>
      <c r="B598" s="97" t="s">
        <v>220</v>
      </c>
      <c r="C598" s="97" t="s">
        <v>45</v>
      </c>
      <c r="D598" s="103" t="str">
        <f>'Composição de Custos '!D112</f>
        <v>SABONETEIRA PLASTICA TIPO DISPENSER PARA SABONETE LIQUIDO COM RESERVATORIO 800 A 1500 ML</v>
      </c>
      <c r="E598" s="439">
        <v>1</v>
      </c>
      <c r="F598" s="125"/>
      <c r="G598" s="105">
        <f t="shared" si="45"/>
        <v>0</v>
      </c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5.5" customHeight="1">
      <c r="A599" s="368">
        <v>34.270000000000003</v>
      </c>
      <c r="B599" s="97" t="s">
        <v>223</v>
      </c>
      <c r="C599" s="124" t="s">
        <v>45</v>
      </c>
      <c r="D599" s="103" t="str">
        <f>'Composição de Custos '!D117</f>
        <v>TOALHEIRO PLASTICO TIPO DISPENSER PARA PAPEL TOALHA INTERFOLHADO PARA BOX SANITÁRIO</v>
      </c>
      <c r="E599" s="439">
        <v>1</v>
      </c>
      <c r="F599" s="125"/>
      <c r="G599" s="105">
        <f t="shared" si="45"/>
        <v>0</v>
      </c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5.5">
      <c r="A600" s="128">
        <v>34.28</v>
      </c>
      <c r="B600" s="97" t="s">
        <v>202</v>
      </c>
      <c r="C600" s="124" t="s">
        <v>45</v>
      </c>
      <c r="D600" s="103" t="str">
        <f>'Composição de Custos '!D99</f>
        <v>TORNEIRA LAVATORIO PRESSMATIC,  VOLANTE TIPO ALAVANCA, PARA LAVATÓRIO DE P.N.E DOCOL OU SIMILAR</v>
      </c>
      <c r="E600" s="123">
        <v>1</v>
      </c>
      <c r="F600" s="125"/>
      <c r="G600" s="105">
        <f t="shared" si="45"/>
        <v>0</v>
      </c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2.75" customHeight="1">
      <c r="A601" s="128">
        <v>34.29</v>
      </c>
      <c r="B601" s="97">
        <v>85005</v>
      </c>
      <c r="C601" s="97" t="s">
        <v>60</v>
      </c>
      <c r="D601" s="103" t="s">
        <v>263</v>
      </c>
      <c r="E601" s="123">
        <v>0.54</v>
      </c>
      <c r="F601" s="125"/>
      <c r="G601" s="105">
        <f t="shared" si="45"/>
        <v>0</v>
      </c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2.75" customHeight="1">
      <c r="A602" s="368">
        <v>34.299999999999997</v>
      </c>
      <c r="B602" s="97">
        <v>72897</v>
      </c>
      <c r="C602" s="211" t="s">
        <v>82</v>
      </c>
      <c r="D602" s="213" t="s">
        <v>83</v>
      </c>
      <c r="E602" s="216">
        <v>1</v>
      </c>
      <c r="F602" s="125"/>
      <c r="G602" s="105">
        <f t="shared" si="45"/>
        <v>0</v>
      </c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2.75" customHeight="1">
      <c r="A603" s="368">
        <v>34.31</v>
      </c>
      <c r="B603" s="133">
        <v>87249</v>
      </c>
      <c r="C603" s="324" t="s">
        <v>60</v>
      </c>
      <c r="D603" s="325" t="s">
        <v>344</v>
      </c>
      <c r="E603" s="345">
        <v>2.65</v>
      </c>
      <c r="F603" s="125"/>
      <c r="G603" s="136">
        <f t="shared" si="45"/>
        <v>0</v>
      </c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2.75" customHeight="1">
      <c r="A604" s="128">
        <v>34.32</v>
      </c>
      <c r="B604" s="133" t="s">
        <v>140</v>
      </c>
      <c r="C604" s="324" t="s">
        <v>125</v>
      </c>
      <c r="D604" s="325" t="s">
        <v>167</v>
      </c>
      <c r="E604" s="345">
        <v>1</v>
      </c>
      <c r="F604" s="125"/>
      <c r="G604" s="136">
        <f t="shared" si="45"/>
        <v>0</v>
      </c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2.75" customHeight="1">
      <c r="A605" s="128">
        <v>34.33</v>
      </c>
      <c r="B605" s="133">
        <v>99803</v>
      </c>
      <c r="C605" s="133" t="s">
        <v>82</v>
      </c>
      <c r="D605" s="134" t="s">
        <v>186</v>
      </c>
      <c r="E605" s="135">
        <v>30</v>
      </c>
      <c r="F605" s="125"/>
      <c r="G605" s="136">
        <f t="shared" si="45"/>
        <v>0</v>
      </c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2.75" customHeight="1">
      <c r="A606" s="511"/>
      <c r="B606" s="185"/>
      <c r="C606" s="185"/>
      <c r="D606" s="702" t="s">
        <v>84</v>
      </c>
      <c r="E606" s="703"/>
      <c r="F606" s="704"/>
      <c r="G606" s="230">
        <f>SUM(G573:G605)</f>
        <v>0</v>
      </c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2.75" customHeight="1">
      <c r="A607" s="95">
        <v>35</v>
      </c>
      <c r="B607" s="696" t="s">
        <v>722</v>
      </c>
      <c r="C607" s="682"/>
      <c r="D607" s="682"/>
      <c r="E607" s="682"/>
      <c r="F607" s="682"/>
      <c r="G607" s="683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6.25" customHeight="1">
      <c r="A608" s="128">
        <v>35.1</v>
      </c>
      <c r="B608" s="97" t="s">
        <v>189</v>
      </c>
      <c r="C608" s="124" t="s">
        <v>45</v>
      </c>
      <c r="D608" s="103" t="str">
        <f>'Composição de Custos '!D79</f>
        <v>SUBSTITUIÇÃO DA PORTA SANITÁRIO ACESSÍVEL COM INSTALAÇÃO DE CHAPA ( 2 lados) E PUXADOR HORIZONTAL( COMPRIMENTO 45CM E DIAM. 3CM)  PORTA DE 90</v>
      </c>
      <c r="E608" s="105">
        <v>1</v>
      </c>
      <c r="F608" s="125"/>
      <c r="G608" s="105">
        <f>F608*E608</f>
        <v>0</v>
      </c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38.25" customHeight="1">
      <c r="A609" s="128">
        <v>35.200000000000003</v>
      </c>
      <c r="B609" s="97">
        <v>97622</v>
      </c>
      <c r="C609" s="97" t="s">
        <v>82</v>
      </c>
      <c r="D609" s="103" t="s">
        <v>585</v>
      </c>
      <c r="E609" s="286">
        <f>0.1*2.1*0.15</f>
        <v>3.15E-2</v>
      </c>
      <c r="F609" s="125"/>
      <c r="G609" s="256">
        <f t="shared" ref="G609:G610" si="47">E609*F609</f>
        <v>0</v>
      </c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38.25" customHeight="1">
      <c r="A610" s="128">
        <v>35.299999999999997</v>
      </c>
      <c r="B610" s="97" t="str">
        <f>'Composição de Custos '!A199</f>
        <v>C017</v>
      </c>
      <c r="C610" s="124" t="s">
        <v>674</v>
      </c>
      <c r="D610" s="103" t="str">
        <f>'Composição de Custos '!D199</f>
        <v xml:space="preserve">RETIRADA E ASSENTAMENTO DE SOLEIRA EM GRANITO VERDE UBATUBA, TABEIRA, DEGRAUS E SOLEIRAS, ASSENTADO COM ARGAMASSA AC-III CONFORME PROJETO </v>
      </c>
      <c r="E610" s="579">
        <v>1</v>
      </c>
      <c r="F610" s="125"/>
      <c r="G610" s="256">
        <f t="shared" si="47"/>
        <v>0</v>
      </c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38.25" customHeight="1">
      <c r="A611" s="128">
        <v>35.4</v>
      </c>
      <c r="B611" s="97">
        <v>90830</v>
      </c>
      <c r="C611" s="124" t="s">
        <v>45</v>
      </c>
      <c r="D611" s="103" t="s">
        <v>295</v>
      </c>
      <c r="E611" s="190">
        <v>1</v>
      </c>
      <c r="F611" s="125"/>
      <c r="G611" s="105">
        <f t="shared" ref="G611:G630" si="48">F611*E611</f>
        <v>0</v>
      </c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4.75" customHeight="1">
      <c r="A612" s="128">
        <v>35.5</v>
      </c>
      <c r="B612" s="97">
        <v>87274</v>
      </c>
      <c r="C612" s="97" t="s">
        <v>60</v>
      </c>
      <c r="D612" s="103" t="s">
        <v>290</v>
      </c>
      <c r="E612" s="286">
        <f>0.33*1.6</f>
        <v>0.52800000000000002</v>
      </c>
      <c r="F612" s="125"/>
      <c r="G612" s="256">
        <f t="shared" si="48"/>
        <v>0</v>
      </c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4.75" customHeight="1">
      <c r="A613" s="128">
        <v>35.6</v>
      </c>
      <c r="B613" s="97" t="s">
        <v>230</v>
      </c>
      <c r="C613" s="124" t="s">
        <v>45</v>
      </c>
      <c r="D613" s="103" t="str">
        <f>'Composição de Custos '!D279</f>
        <v>PLACA DE SINALIZAÇÃO EM BRAILLE E AUTORELEVO 20 X 40 - ACRILICO COM SIMBOLO INTERNACIONAL DE ACESSO CONFORME PROJETO</v>
      </c>
      <c r="E613" s="123">
        <v>1</v>
      </c>
      <c r="F613" s="125"/>
      <c r="G613" s="105">
        <f t="shared" si="48"/>
        <v>0</v>
      </c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2.75" customHeight="1">
      <c r="A614" s="128">
        <v>35.700000000000003</v>
      </c>
      <c r="B614" s="97" t="s">
        <v>233</v>
      </c>
      <c r="C614" s="124" t="s">
        <v>60</v>
      </c>
      <c r="D614" s="103" t="str">
        <f>'Composição de Custos '!D502</f>
        <v>RETIRADA DE CHAPA DE GRANITO DE BOX DE BANHEIRO COMO REAPROVEITAMENTO</v>
      </c>
      <c r="E614" s="257">
        <f>0.3*0.8*2</f>
        <v>0.48</v>
      </c>
      <c r="F614" s="125"/>
      <c r="G614" s="105">
        <f t="shared" si="48"/>
        <v>0</v>
      </c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3.5" customHeight="1">
      <c r="A615" s="128">
        <v>35.799999999999997</v>
      </c>
      <c r="B615" s="97" t="s">
        <v>395</v>
      </c>
      <c r="C615" s="97" t="s">
        <v>60</v>
      </c>
      <c r="D615" s="103" t="str">
        <f>'Composição de Custos '!D368</f>
        <v>DIVISÓRIA EM GRANITO, COM DUAS FACES POLIDAS, COR CINZA,  PARA INSTALAÇÃO EM BOXES DE BANHEIRO</v>
      </c>
      <c r="E615" s="257">
        <f>0.4*1.2*2 +0.12*1.2</f>
        <v>1.1039999999999999</v>
      </c>
      <c r="F615" s="125"/>
      <c r="G615" s="105">
        <f t="shared" si="48"/>
        <v>0</v>
      </c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30" customHeight="1">
      <c r="A616" s="128">
        <v>35.9</v>
      </c>
      <c r="B616" s="97" t="s">
        <v>170</v>
      </c>
      <c r="C616" s="124" t="s">
        <v>45</v>
      </c>
      <c r="D616" s="103" t="str">
        <f>'Composição de Custos '!D60</f>
        <v>ADEQUAÇÃO DA ALTURA DE APARELHOS DE MICTÓRIOS PARA ADEQUAÇÃO DA NORMA DE ACESSIBILIDADE, NBR 9050, INCLUINDO ALTURA DA VALVULA DE ACIONAMENTO</v>
      </c>
      <c r="E616" s="105">
        <v>1</v>
      </c>
      <c r="F616" s="125"/>
      <c r="G616" s="105">
        <f t="shared" si="48"/>
        <v>0</v>
      </c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5.5" customHeight="1">
      <c r="A617" s="580">
        <v>35.1</v>
      </c>
      <c r="B617" s="97" t="s">
        <v>527</v>
      </c>
      <c r="C617" s="124" t="s">
        <v>45</v>
      </c>
      <c r="D617" s="103" t="str">
        <f>'Composição de Custos '!D596</f>
        <v>INVERTER SENTIDO DE ABERTURA PORTA DO BANHEIRO E INSTALAR PUXADOR HORIZONTAL</v>
      </c>
      <c r="E617" s="257">
        <v>1</v>
      </c>
      <c r="F617" s="125"/>
      <c r="G617" s="105">
        <f t="shared" si="48"/>
        <v>0</v>
      </c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2.75" customHeight="1">
      <c r="A618" s="128">
        <v>35.11</v>
      </c>
      <c r="B618" s="97" t="s">
        <v>429</v>
      </c>
      <c r="C618" s="124" t="s">
        <v>45</v>
      </c>
      <c r="D618" s="103" t="str">
        <f>'Composição de Custos '!D513</f>
        <v>RETIRADA DE LOUÇAS SANITÁRIAS</v>
      </c>
      <c r="E618" s="439">
        <v>2</v>
      </c>
      <c r="F618" s="125"/>
      <c r="G618" s="105">
        <f t="shared" si="48"/>
        <v>0</v>
      </c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8.5" customHeight="1">
      <c r="A619" s="580">
        <v>35.119999999999997</v>
      </c>
      <c r="B619" s="97" t="s">
        <v>565</v>
      </c>
      <c r="C619" s="124" t="s">
        <v>45</v>
      </c>
      <c r="D619" s="103" t="str">
        <f>'Composição de Custos '!D957</f>
        <v>LAVATÓRIO LOUÇA BRANCA SUSPENSO, 29,5 X 39CM OU EQUIVALENTE, PADRÃO POPULAR - FORNECIMENTO E INSTALAÇÃO. AF_12/2013</v>
      </c>
      <c r="E619" s="190">
        <v>1</v>
      </c>
      <c r="F619" s="125"/>
      <c r="G619" s="105">
        <f t="shared" si="48"/>
        <v>0</v>
      </c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37.5" customHeight="1">
      <c r="A620" s="128">
        <v>35.130000000000003</v>
      </c>
      <c r="B620" s="97" t="s">
        <v>723</v>
      </c>
      <c r="C620" s="124" t="s">
        <v>45</v>
      </c>
      <c r="D620" s="103" t="str">
        <f>'Composição de Custos '!D353</f>
        <v>READEQUAÇÃO DA ALTURA DE APARELHOS SANITÁRIOS   ATRAVÉS DA INSTALAÇÃO DE SÓCULO NA BASE PARA ADEQUAÇÃO DA NORMA DE ACESSIBILIDADE NBR 9050, ITEM 7.3.14</v>
      </c>
      <c r="E620" s="125">
        <v>1</v>
      </c>
      <c r="F620" s="125"/>
      <c r="G620" s="105">
        <f t="shared" si="48"/>
        <v>0</v>
      </c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5.5" customHeight="1">
      <c r="A621" s="580">
        <v>35.14</v>
      </c>
      <c r="B621" s="97" t="str">
        <f>'Composição de Custos '!A158</f>
        <v>C013</v>
      </c>
      <c r="C621" s="124" t="s">
        <v>45</v>
      </c>
      <c r="D621" s="103" t="str">
        <f>'Composição de Custos '!D158</f>
        <v>BARRA DE APOIO HORIZONTAL, EM AÇO INOX PARA P.N.E L = 80CM (VASO SANITÁRIO) CONFORME NBR 9050</v>
      </c>
      <c r="E621" s="105">
        <v>2</v>
      </c>
      <c r="F621" s="125"/>
      <c r="G621" s="105">
        <f t="shared" si="48"/>
        <v>0</v>
      </c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5.5" customHeight="1">
      <c r="A622" s="128">
        <v>35.15</v>
      </c>
      <c r="B622" s="97" t="s">
        <v>184</v>
      </c>
      <c r="C622" s="97" t="s">
        <v>45</v>
      </c>
      <c r="D622" s="103" t="str">
        <f>'Composição de Custos '!D72</f>
        <v xml:space="preserve">BARRA DE APOIO EM TUBO DE AÇO INOXIDÁVEL OU ALUMÍNIO, COM 70 CM, DIAM. 30 À 45 MM, FIXAÇÃO VERTICAL OU HORIZONTAL  </v>
      </c>
      <c r="E622" s="105">
        <v>3</v>
      </c>
      <c r="F622" s="125"/>
      <c r="G622" s="105">
        <f t="shared" si="48"/>
        <v>0</v>
      </c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2.75" customHeight="1">
      <c r="A623" s="580">
        <v>35.159999999999897</v>
      </c>
      <c r="B623" s="97" t="s">
        <v>390</v>
      </c>
      <c r="C623" s="124" t="s">
        <v>45</v>
      </c>
      <c r="D623" s="103" t="str">
        <f>'Composição de Custos '!D362</f>
        <v>ADEQUAÇÃO DE ALTURA DE BARRAS DE APOIO EXISTENTES</v>
      </c>
      <c r="E623" s="125">
        <v>2</v>
      </c>
      <c r="F623" s="125"/>
      <c r="G623" s="105">
        <f t="shared" si="48"/>
        <v>0</v>
      </c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5.5" customHeight="1">
      <c r="A624" s="128">
        <v>35.169999999999902</v>
      </c>
      <c r="B624" s="97" t="s">
        <v>271</v>
      </c>
      <c r="C624" s="124" t="s">
        <v>45</v>
      </c>
      <c r="D624" s="103" t="str">
        <f>'Composição de Custos '!D179</f>
        <v>BARRA DE APOIO RETA, EM ACO INOX POLIDO, COMPRIMENTO 40CM, DIAMETRO MINIMO 3, FIXAÇÃO VERTICAL NA PAREDE</v>
      </c>
      <c r="E624" s="190">
        <v>2</v>
      </c>
      <c r="F624" s="125"/>
      <c r="G624" s="105">
        <f t="shared" si="48"/>
        <v>0</v>
      </c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31.5" customHeight="1">
      <c r="A625" s="580">
        <v>35.1799999999999</v>
      </c>
      <c r="B625" s="97" t="s">
        <v>202</v>
      </c>
      <c r="C625" s="124" t="s">
        <v>45</v>
      </c>
      <c r="D625" s="103" t="str">
        <f>'Composição de Custos '!D99</f>
        <v>TORNEIRA LAVATORIO PRESSMATIC,  VOLANTE TIPO ALAVANCA, PARA LAVATÓRIO DE P.N.E DOCOL OU SIMILAR</v>
      </c>
      <c r="E625" s="190">
        <v>1</v>
      </c>
      <c r="F625" s="125"/>
      <c r="G625" s="105">
        <f t="shared" si="48"/>
        <v>0</v>
      </c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7.25" customHeight="1">
      <c r="A626" s="128">
        <v>35.189999999999898</v>
      </c>
      <c r="B626" s="422" t="s">
        <v>218</v>
      </c>
      <c r="C626" s="124" t="s">
        <v>45</v>
      </c>
      <c r="D626" s="103" t="str">
        <f>'Composição de Custos '!D107</f>
        <v>TOALHEIRO PLASTICO TIPO DISPENSER PARA PAPEL TOALHA INTERFOLHADO</v>
      </c>
      <c r="E626" s="190">
        <v>1</v>
      </c>
      <c r="F626" s="125"/>
      <c r="G626" s="105">
        <f t="shared" si="48"/>
        <v>0</v>
      </c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7" customHeight="1">
      <c r="A627" s="580">
        <v>35.199999999999903</v>
      </c>
      <c r="B627" s="97" t="s">
        <v>220</v>
      </c>
      <c r="C627" s="97" t="s">
        <v>45</v>
      </c>
      <c r="D627" s="103" t="str">
        <f>'Composição de Custos '!D112</f>
        <v>SABONETEIRA PLASTICA TIPO DISPENSER PARA SABONETE LIQUIDO COM RESERVATORIO 800 A 1500 ML</v>
      </c>
      <c r="E627" s="125">
        <v>1</v>
      </c>
      <c r="F627" s="125"/>
      <c r="G627" s="105">
        <f t="shared" si="48"/>
        <v>0</v>
      </c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5.5" customHeight="1">
      <c r="A628" s="580">
        <v>35.209999999999802</v>
      </c>
      <c r="B628" s="97" t="s">
        <v>223</v>
      </c>
      <c r="C628" s="124" t="s">
        <v>45</v>
      </c>
      <c r="D628" s="103" t="str">
        <f>'Composição de Custos '!D117</f>
        <v>TOALHEIRO PLASTICO TIPO DISPENSER PARA PAPEL TOALHA INTERFOLHADO PARA BOX SANITÁRIO</v>
      </c>
      <c r="E628" s="190">
        <v>1</v>
      </c>
      <c r="F628" s="125"/>
      <c r="G628" s="105">
        <f t="shared" si="48"/>
        <v>0</v>
      </c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2.75" customHeight="1">
      <c r="A629" s="128">
        <v>35.2199999999998</v>
      </c>
      <c r="B629" s="97">
        <v>85005</v>
      </c>
      <c r="C629" s="97" t="s">
        <v>60</v>
      </c>
      <c r="D629" s="103" t="s">
        <v>263</v>
      </c>
      <c r="E629" s="190">
        <v>0.54</v>
      </c>
      <c r="F629" s="125"/>
      <c r="G629" s="105">
        <f t="shared" si="48"/>
        <v>0</v>
      </c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2.75" customHeight="1">
      <c r="A630" s="580">
        <v>35.229999999999798</v>
      </c>
      <c r="B630" s="133">
        <v>99803</v>
      </c>
      <c r="C630" s="133" t="s">
        <v>82</v>
      </c>
      <c r="D630" s="134" t="s">
        <v>186</v>
      </c>
      <c r="E630" s="135">
        <v>8</v>
      </c>
      <c r="F630" s="125"/>
      <c r="G630" s="136">
        <f t="shared" si="48"/>
        <v>0</v>
      </c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2.75" customHeight="1">
      <c r="A631" s="581"/>
      <c r="B631" s="581"/>
      <c r="C631" s="581"/>
      <c r="D631" s="716" t="s">
        <v>84</v>
      </c>
      <c r="E631" s="717"/>
      <c r="F631" s="718"/>
      <c r="G631" s="582">
        <f>SUM(G608:G630)</f>
        <v>0</v>
      </c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2.75" customHeight="1">
      <c r="A632" s="301">
        <v>36</v>
      </c>
      <c r="B632" s="714" t="s">
        <v>724</v>
      </c>
      <c r="C632" s="703"/>
      <c r="D632" s="703"/>
      <c r="E632" s="703"/>
      <c r="F632" s="703"/>
      <c r="G632" s="715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5.5" customHeight="1">
      <c r="A633" s="128">
        <v>36.1</v>
      </c>
      <c r="B633" s="97" t="s">
        <v>189</v>
      </c>
      <c r="C633" s="124" t="s">
        <v>45</v>
      </c>
      <c r="D633" s="103" t="str">
        <f>'Composição de Custos '!D79</f>
        <v>SUBSTITUIÇÃO DA PORTA SANITÁRIO ACESSÍVEL COM INSTALAÇÃO DE CHAPA ( 2 lados) E PUXADOR HORIZONTAL( COMPRIMENTO 45CM E DIAM. 3CM)  PORTA DE 90</v>
      </c>
      <c r="E633" s="125">
        <v>1</v>
      </c>
      <c r="F633" s="125"/>
      <c r="G633" s="105">
        <f>F633*E633</f>
        <v>0</v>
      </c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38.25" customHeight="1">
      <c r="A634" s="128">
        <v>36.200000000000003</v>
      </c>
      <c r="B634" s="97">
        <v>97622</v>
      </c>
      <c r="C634" s="97" t="s">
        <v>82</v>
      </c>
      <c r="D634" s="103" t="s">
        <v>585</v>
      </c>
      <c r="E634" s="286">
        <f>0.1*2.1*0.15</f>
        <v>3.15E-2</v>
      </c>
      <c r="F634" s="125"/>
      <c r="G634" s="256">
        <f t="shared" ref="G634:G635" si="49">E634*F634</f>
        <v>0</v>
      </c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38.25" customHeight="1">
      <c r="A635" s="128">
        <v>36.299999999999997</v>
      </c>
      <c r="B635" s="97" t="str">
        <f>'Composição de Custos '!A199</f>
        <v>C017</v>
      </c>
      <c r="C635" s="124" t="s">
        <v>45</v>
      </c>
      <c r="D635" s="103" t="str">
        <f>'Composição de Custos '!D199</f>
        <v xml:space="preserve">RETIRADA E ASSENTAMENTO DE SOLEIRA EM GRANITO VERDE UBATUBA, TABEIRA, DEGRAUS E SOLEIRAS, ASSENTADO COM ARGAMASSA AC-III CONFORME PROJETO </v>
      </c>
      <c r="E635" s="190">
        <f>E610</f>
        <v>1</v>
      </c>
      <c r="F635" s="125"/>
      <c r="G635" s="256">
        <f t="shared" si="49"/>
        <v>0</v>
      </c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38.25" customHeight="1">
      <c r="A636" s="128">
        <v>36.4</v>
      </c>
      <c r="B636" s="97">
        <v>90830</v>
      </c>
      <c r="C636" s="124" t="s">
        <v>45</v>
      </c>
      <c r="D636" s="103" t="s">
        <v>295</v>
      </c>
      <c r="E636" s="190">
        <v>1</v>
      </c>
      <c r="F636" s="125"/>
      <c r="G636" s="105">
        <f t="shared" ref="G636:G652" si="50">F636*E636</f>
        <v>0</v>
      </c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5.5" customHeight="1">
      <c r="A637" s="128">
        <v>36.5</v>
      </c>
      <c r="B637" s="97">
        <v>87274</v>
      </c>
      <c r="C637" s="97" t="s">
        <v>60</v>
      </c>
      <c r="D637" s="103" t="s">
        <v>290</v>
      </c>
      <c r="E637" s="286">
        <f>0.33*1.6</f>
        <v>0.52800000000000002</v>
      </c>
      <c r="F637" s="125"/>
      <c r="G637" s="256">
        <f t="shared" si="50"/>
        <v>0</v>
      </c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5.5" customHeight="1">
      <c r="A638" s="128">
        <v>36.6</v>
      </c>
      <c r="B638" s="97" t="s">
        <v>230</v>
      </c>
      <c r="C638" s="124" t="s">
        <v>45</v>
      </c>
      <c r="D638" s="103" t="str">
        <f>'Composição de Custos '!D279</f>
        <v>PLACA DE SINALIZAÇÃO EM BRAILLE E AUTORELEVO 20 X 40 - ACRILICO COM SIMBOLO INTERNACIONAL DE ACESSO CONFORME PROJETO</v>
      </c>
      <c r="E638" s="125">
        <v>1</v>
      </c>
      <c r="F638" s="125"/>
      <c r="G638" s="105">
        <f t="shared" si="50"/>
        <v>0</v>
      </c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5.5" customHeight="1">
      <c r="A639" s="128">
        <v>36.700000000000003</v>
      </c>
      <c r="B639" s="97" t="s">
        <v>527</v>
      </c>
      <c r="C639" s="124" t="s">
        <v>45</v>
      </c>
      <c r="D639" s="103" t="str">
        <f>'Composição de Custos '!D596</f>
        <v>INVERTER SENTIDO DE ABERTURA PORTA DO BANHEIRO E INSTALAR PUXADOR HORIZONTAL</v>
      </c>
      <c r="E639" s="125">
        <v>1</v>
      </c>
      <c r="F639" s="125"/>
      <c r="G639" s="105">
        <f t="shared" si="50"/>
        <v>0</v>
      </c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2.75" customHeight="1">
      <c r="A640" s="128">
        <v>36.799999999999997</v>
      </c>
      <c r="B640" s="97" t="s">
        <v>429</v>
      </c>
      <c r="C640" s="124" t="s">
        <v>45</v>
      </c>
      <c r="D640" s="103" t="str">
        <f>'Composição de Custos '!D513</f>
        <v>RETIRADA DE LOUÇAS SANITÁRIAS</v>
      </c>
      <c r="E640" s="439">
        <v>2</v>
      </c>
      <c r="F640" s="125"/>
      <c r="G640" s="105">
        <f t="shared" si="50"/>
        <v>0</v>
      </c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8.5" customHeight="1">
      <c r="A641" s="128">
        <v>36.9</v>
      </c>
      <c r="B641" s="97" t="s">
        <v>565</v>
      </c>
      <c r="C641" s="124" t="s">
        <v>45</v>
      </c>
      <c r="D641" s="103" t="str">
        <f>'Composição de Custos '!D957</f>
        <v>LAVATÓRIO LOUÇA BRANCA SUSPENSO, 29,5 X 39CM OU EQUIVALENTE, PADRÃO POPULAR - FORNECIMENTO E INSTALAÇÃO. AF_12/2013</v>
      </c>
      <c r="E641" s="125">
        <v>1</v>
      </c>
      <c r="F641" s="125"/>
      <c r="G641" s="105">
        <f t="shared" si="50"/>
        <v>0</v>
      </c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5.5" customHeight="1">
      <c r="A642" s="580">
        <v>36.1</v>
      </c>
      <c r="B642" s="97" t="str">
        <f>'Composição de Custos '!A158</f>
        <v>C013</v>
      </c>
      <c r="C642" s="124" t="s">
        <v>45</v>
      </c>
      <c r="D642" s="103" t="str">
        <f>'Composição de Custos '!D158</f>
        <v>BARRA DE APOIO HORIZONTAL, EM AÇO INOX PARA P.N.E L = 80CM (VASO SANITÁRIO) CONFORME NBR 9050</v>
      </c>
      <c r="E642" s="125">
        <v>2</v>
      </c>
      <c r="F642" s="125"/>
      <c r="G642" s="105">
        <f t="shared" si="50"/>
        <v>0</v>
      </c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5.5" customHeight="1">
      <c r="A643" s="128">
        <v>36.11</v>
      </c>
      <c r="B643" s="97" t="str">
        <f>'Composição de Custos '!A72</f>
        <v>C006</v>
      </c>
      <c r="C643" s="124" t="s">
        <v>45</v>
      </c>
      <c r="D643" s="103" t="str">
        <f>'Composição de Custos '!D72</f>
        <v xml:space="preserve">BARRA DE APOIO EM TUBO DE AÇO INOXIDÁVEL OU ALUMÍNIO, COM 70 CM, DIAM. 30 À 45 MM, FIXAÇÃO VERTICAL OU HORIZONTAL  </v>
      </c>
      <c r="E643" s="125">
        <v>1</v>
      </c>
      <c r="F643" s="125"/>
      <c r="G643" s="105">
        <f t="shared" si="50"/>
        <v>0</v>
      </c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5.5" customHeight="1">
      <c r="A644" s="580">
        <v>36.119999999999997</v>
      </c>
      <c r="B644" s="97" t="s">
        <v>202</v>
      </c>
      <c r="C644" s="124" t="s">
        <v>45</v>
      </c>
      <c r="D644" s="103" t="str">
        <f>'Composição de Custos '!D99</f>
        <v>TORNEIRA LAVATORIO PRESSMATIC,  VOLANTE TIPO ALAVANCA, PARA LAVATÓRIO DE P.N.E DOCOL OU SIMILAR</v>
      </c>
      <c r="E644" s="125">
        <v>1</v>
      </c>
      <c r="F644" s="125"/>
      <c r="G644" s="105">
        <f t="shared" si="50"/>
        <v>0</v>
      </c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38.25" customHeight="1">
      <c r="A645" s="128">
        <v>36.130000000000003</v>
      </c>
      <c r="B645" s="97" t="s">
        <v>386</v>
      </c>
      <c r="C645" s="124" t="s">
        <v>45</v>
      </c>
      <c r="D645" s="103" t="str">
        <f>'Composição de Custos '!D353</f>
        <v>READEQUAÇÃO DA ALTURA DE APARELHOS SANITÁRIOS   ATRAVÉS DA INSTALAÇÃO DE SÓCULO NA BASE PARA ADEQUAÇÃO DA NORMA DE ACESSIBILIDADE NBR 9050, ITEM 7.3.14</v>
      </c>
      <c r="E645" s="125">
        <v>1</v>
      </c>
      <c r="F645" s="125"/>
      <c r="G645" s="105">
        <f t="shared" si="50"/>
        <v>0</v>
      </c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8.5" customHeight="1">
      <c r="A646" s="580">
        <v>36.14</v>
      </c>
      <c r="B646" s="97" t="s">
        <v>271</v>
      </c>
      <c r="C646" s="124" t="s">
        <v>45</v>
      </c>
      <c r="D646" s="103" t="str">
        <f>'Composição de Custos '!D179</f>
        <v>BARRA DE APOIO RETA, EM ACO INOX POLIDO, COMPRIMENTO 40CM, DIAMETRO MINIMO 3, FIXAÇÃO VERTICAL NA PAREDE</v>
      </c>
      <c r="E646" s="125">
        <v>2</v>
      </c>
      <c r="F646" s="125"/>
      <c r="G646" s="105">
        <f t="shared" si="50"/>
        <v>0</v>
      </c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2.75" customHeight="1">
      <c r="A647" s="128">
        <v>36.15</v>
      </c>
      <c r="B647" s="97" t="s">
        <v>390</v>
      </c>
      <c r="C647" s="124" t="s">
        <v>45</v>
      </c>
      <c r="D647" s="103" t="str">
        <f>'Composição de Custos '!D362</f>
        <v>ADEQUAÇÃO DE ALTURA DE BARRAS DE APOIO EXISTENTES</v>
      </c>
      <c r="E647" s="125">
        <v>2</v>
      </c>
      <c r="F647" s="125"/>
      <c r="G647" s="105">
        <f t="shared" si="50"/>
        <v>0</v>
      </c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7.25" customHeight="1">
      <c r="A648" s="580">
        <v>36.159999999999897</v>
      </c>
      <c r="B648" s="422" t="s">
        <v>218</v>
      </c>
      <c r="C648" s="124" t="s">
        <v>45</v>
      </c>
      <c r="D648" s="103" t="str">
        <f>'Composição de Custos '!D107</f>
        <v>TOALHEIRO PLASTICO TIPO DISPENSER PARA PAPEL TOALHA INTERFOLHADO</v>
      </c>
      <c r="E648" s="190">
        <v>1</v>
      </c>
      <c r="F648" s="125"/>
      <c r="G648" s="105">
        <f t="shared" si="50"/>
        <v>0</v>
      </c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7" customHeight="1">
      <c r="A649" s="128">
        <v>36.169999999999902</v>
      </c>
      <c r="B649" s="97" t="s">
        <v>220</v>
      </c>
      <c r="C649" s="97" t="s">
        <v>45</v>
      </c>
      <c r="D649" s="103" t="str">
        <f>'Composição de Custos '!D112</f>
        <v>SABONETEIRA PLASTICA TIPO DISPENSER PARA SABONETE LIQUIDO COM RESERVATORIO 800 A 1500 ML</v>
      </c>
      <c r="E649" s="125">
        <v>1</v>
      </c>
      <c r="F649" s="125"/>
      <c r="G649" s="105">
        <f t="shared" si="50"/>
        <v>0</v>
      </c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5.5" customHeight="1">
      <c r="A650" s="580">
        <v>36.1799999999999</v>
      </c>
      <c r="B650" s="97" t="s">
        <v>223</v>
      </c>
      <c r="C650" s="124" t="s">
        <v>45</v>
      </c>
      <c r="D650" s="103" t="str">
        <f>'Composição de Custos '!D117</f>
        <v>TOALHEIRO PLASTICO TIPO DISPENSER PARA PAPEL TOALHA INTERFOLHADO PARA BOX SANITÁRIO</v>
      </c>
      <c r="E650" s="190">
        <v>1</v>
      </c>
      <c r="F650" s="125"/>
      <c r="G650" s="105">
        <f t="shared" si="50"/>
        <v>0</v>
      </c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2.75" customHeight="1">
      <c r="A651" s="128">
        <v>36.189999999999898</v>
      </c>
      <c r="B651" s="97">
        <v>85005</v>
      </c>
      <c r="C651" s="97" t="s">
        <v>60</v>
      </c>
      <c r="D651" s="103" t="s">
        <v>263</v>
      </c>
      <c r="E651" s="125">
        <v>0.54</v>
      </c>
      <c r="F651" s="125"/>
      <c r="G651" s="105">
        <f t="shared" si="50"/>
        <v>0</v>
      </c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2.75" customHeight="1">
      <c r="A652" s="580">
        <v>36.199999999999903</v>
      </c>
      <c r="B652" s="133">
        <v>99803</v>
      </c>
      <c r="C652" s="133" t="s">
        <v>82</v>
      </c>
      <c r="D652" s="134" t="s">
        <v>186</v>
      </c>
      <c r="E652" s="135">
        <v>20</v>
      </c>
      <c r="F652" s="125"/>
      <c r="G652" s="136">
        <f t="shared" si="50"/>
        <v>0</v>
      </c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1.25" customHeight="1">
      <c r="A653" s="583"/>
      <c r="B653" s="584"/>
      <c r="C653" s="581"/>
      <c r="D653" s="716" t="s">
        <v>84</v>
      </c>
      <c r="E653" s="717"/>
      <c r="F653" s="718"/>
      <c r="G653" s="582">
        <f>SUM(G633:G652)</f>
        <v>0</v>
      </c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2.75" customHeight="1">
      <c r="A654" s="301">
        <v>37</v>
      </c>
      <c r="B654" s="720" t="s">
        <v>725</v>
      </c>
      <c r="C654" s="721"/>
      <c r="D654" s="721"/>
      <c r="E654" s="721"/>
      <c r="F654" s="721"/>
      <c r="G654" s="722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5.5" customHeight="1">
      <c r="A655" s="132">
        <v>37.1</v>
      </c>
      <c r="B655" s="97" t="s">
        <v>189</v>
      </c>
      <c r="C655" s="124" t="s">
        <v>45</v>
      </c>
      <c r="D655" s="103" t="str">
        <f>'Composição de Custos '!D79</f>
        <v>SUBSTITUIÇÃO DA PORTA SANITÁRIO ACESSÍVEL COM INSTALAÇÃO DE CHAPA ( 2 lados) E PUXADOR HORIZONTAL( COMPRIMENTO 45CM E DIAM. 3CM)  PORTA DE 90</v>
      </c>
      <c r="E655" s="125">
        <v>1</v>
      </c>
      <c r="F655" s="125"/>
      <c r="G655" s="105">
        <f>F655*E655</f>
        <v>0</v>
      </c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38.25" customHeight="1">
      <c r="A656" s="128">
        <v>37.200000000000003</v>
      </c>
      <c r="B656" s="97">
        <v>97622</v>
      </c>
      <c r="C656" s="97" t="s">
        <v>82</v>
      </c>
      <c r="D656" s="103" t="s">
        <v>585</v>
      </c>
      <c r="E656" s="286">
        <f>0.1*2.1*0.15</f>
        <v>3.15E-2</v>
      </c>
      <c r="F656" s="125"/>
      <c r="G656" s="256">
        <f>E656*F656</f>
        <v>0</v>
      </c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38.25" customHeight="1">
      <c r="A657" s="132">
        <v>37.299999999999997</v>
      </c>
      <c r="B657" s="97">
        <v>87274</v>
      </c>
      <c r="C657" s="97" t="s">
        <v>60</v>
      </c>
      <c r="D657" s="103" t="s">
        <v>290</v>
      </c>
      <c r="E657" s="286">
        <f>0.33*1.6</f>
        <v>0.52800000000000002</v>
      </c>
      <c r="F657" s="125"/>
      <c r="G657" s="256">
        <f t="shared" ref="G657:G671" si="51">F657*E657</f>
        <v>0</v>
      </c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38.25" customHeight="1">
      <c r="A658" s="128">
        <v>37.4</v>
      </c>
      <c r="B658" s="97" t="str">
        <f>'Composição de Custos '!A199</f>
        <v>C017</v>
      </c>
      <c r="C658" s="124" t="s">
        <v>45</v>
      </c>
      <c r="D658" s="103" t="str">
        <f>'Composição de Custos '!D199</f>
        <v xml:space="preserve">RETIRADA E ASSENTAMENTO DE SOLEIRA EM GRANITO VERDE UBATUBA, TABEIRA, DEGRAUS E SOLEIRAS, ASSENTADO COM ARGAMASSA AC-III CONFORME PROJETO </v>
      </c>
      <c r="E658" s="190">
        <v>1</v>
      </c>
      <c r="F658" s="125"/>
      <c r="G658" s="256">
        <f t="shared" si="51"/>
        <v>0</v>
      </c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38.25" customHeight="1">
      <c r="A659" s="132">
        <v>37.5</v>
      </c>
      <c r="B659" s="97">
        <v>90830</v>
      </c>
      <c r="C659" s="124" t="s">
        <v>45</v>
      </c>
      <c r="D659" s="103" t="s">
        <v>295</v>
      </c>
      <c r="E659" s="190">
        <v>1</v>
      </c>
      <c r="F659" s="125"/>
      <c r="G659" s="105">
        <f t="shared" si="51"/>
        <v>0</v>
      </c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5.5" customHeight="1">
      <c r="A660" s="128">
        <v>37.6</v>
      </c>
      <c r="B660" s="97" t="s">
        <v>230</v>
      </c>
      <c r="C660" s="124" t="s">
        <v>45</v>
      </c>
      <c r="D660" s="103" t="str">
        <f>'Composição de Custos '!D279</f>
        <v>PLACA DE SINALIZAÇÃO EM BRAILLE E AUTORELEVO 20 X 40 - ACRILICO COM SIMBOLO INTERNACIONAL DE ACESSO CONFORME PROJETO</v>
      </c>
      <c r="E660" s="125">
        <v>1</v>
      </c>
      <c r="F660" s="125"/>
      <c r="G660" s="105">
        <f t="shared" si="51"/>
        <v>0</v>
      </c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5.5" customHeight="1">
      <c r="A661" s="132">
        <v>37.700000000000003</v>
      </c>
      <c r="B661" s="97" t="s">
        <v>184</v>
      </c>
      <c r="C661" s="97" t="s">
        <v>45</v>
      </c>
      <c r="D661" s="103" t="str">
        <f>'Composição de Custos '!D72</f>
        <v xml:space="preserve">BARRA DE APOIO EM TUBO DE AÇO INOXIDÁVEL OU ALUMÍNIO, COM 70 CM, DIAM. 30 À 45 MM, FIXAÇÃO VERTICAL OU HORIZONTAL  </v>
      </c>
      <c r="E661" s="125">
        <v>1</v>
      </c>
      <c r="F661" s="125"/>
      <c r="G661" s="105">
        <f t="shared" si="51"/>
        <v>0</v>
      </c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5.5" customHeight="1">
      <c r="A662" s="128">
        <v>37.799999999999997</v>
      </c>
      <c r="B662" s="367" t="str">
        <f>'Composição de Custos '!A79</f>
        <v>C007</v>
      </c>
      <c r="C662" s="367" t="s">
        <v>45</v>
      </c>
      <c r="D662" s="259" t="str">
        <f>'Composição de Custos '!D79</f>
        <v>SUBSTITUIÇÃO DA PORTA SANITÁRIO ACESSÍVEL COM INSTALAÇÃO DE CHAPA ( 2 lados) E PUXADOR HORIZONTAL( COMPRIMENTO 45CM E DIAM. 3CM)  PORTA DE 90</v>
      </c>
      <c r="E662" s="392">
        <v>1</v>
      </c>
      <c r="F662" s="125"/>
      <c r="G662" s="189">
        <f t="shared" si="51"/>
        <v>0</v>
      </c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2.75" customHeight="1">
      <c r="A663" s="132">
        <v>37.9</v>
      </c>
      <c r="B663" s="97" t="s">
        <v>429</v>
      </c>
      <c r="C663" s="124" t="s">
        <v>45</v>
      </c>
      <c r="D663" s="103" t="str">
        <f>'Composição de Custos '!D513</f>
        <v>RETIRADA DE LOUÇAS SANITÁRIAS</v>
      </c>
      <c r="E663" s="439">
        <v>2</v>
      </c>
      <c r="F663" s="125"/>
      <c r="G663" s="105">
        <f t="shared" si="51"/>
        <v>0</v>
      </c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9.25" customHeight="1">
      <c r="A664" s="580">
        <v>37.1</v>
      </c>
      <c r="B664" s="97" t="s">
        <v>565</v>
      </c>
      <c r="C664" s="124" t="s">
        <v>45</v>
      </c>
      <c r="D664" s="103" t="str">
        <f>'Composição de Custos '!D957</f>
        <v>LAVATÓRIO LOUÇA BRANCA SUSPENSO, 29,5 X 39CM OU EQUIVALENTE, PADRÃO POPULAR - FORNECIMENTO E INSTALAÇÃO. AF_12/2013</v>
      </c>
      <c r="E664" s="123">
        <v>1</v>
      </c>
      <c r="F664" s="125"/>
      <c r="G664" s="105">
        <f t="shared" si="51"/>
        <v>0</v>
      </c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5.5" customHeight="1">
      <c r="A665" s="132">
        <v>37.11</v>
      </c>
      <c r="B665" s="341" t="s">
        <v>202</v>
      </c>
      <c r="C665" s="396" t="s">
        <v>45</v>
      </c>
      <c r="D665" s="153" t="str">
        <f>'Composição de Custos '!D99</f>
        <v>TORNEIRA LAVATORIO PRESSMATIC,  VOLANTE TIPO ALAVANCA, PARA LAVATÓRIO DE P.N.E DOCOL OU SIMILAR</v>
      </c>
      <c r="E665" s="123">
        <v>1</v>
      </c>
      <c r="F665" s="125"/>
      <c r="G665" s="105">
        <f t="shared" si="51"/>
        <v>0</v>
      </c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38.25" customHeight="1">
      <c r="A666" s="580">
        <v>37.119999999999997</v>
      </c>
      <c r="B666" s="97" t="s">
        <v>386</v>
      </c>
      <c r="C666" s="124" t="s">
        <v>45</v>
      </c>
      <c r="D666" s="103" t="str">
        <f>'Composição de Custos '!D353</f>
        <v>READEQUAÇÃO DA ALTURA DE APARELHOS SANITÁRIOS   ATRAVÉS DA INSTALAÇÃO DE SÓCULO NA BASE PARA ADEQUAÇÃO DA NORMA DE ACESSIBILIDADE NBR 9050, ITEM 7.3.14</v>
      </c>
      <c r="E666" s="123">
        <v>1</v>
      </c>
      <c r="F666" s="125"/>
      <c r="G666" s="105">
        <f t="shared" si="51"/>
        <v>0</v>
      </c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5.5" customHeight="1">
      <c r="A667" s="132">
        <v>37.130000000000003</v>
      </c>
      <c r="B667" s="585" t="str">
        <f>'Composição de Custos '!A158</f>
        <v>C013</v>
      </c>
      <c r="C667" s="124" t="s">
        <v>45</v>
      </c>
      <c r="D667" s="31" t="str">
        <f>'Composição de Custos '!D158</f>
        <v>BARRA DE APOIO HORIZONTAL, EM AÇO INOX PARA P.N.E L = 80CM (VASO SANITÁRIO) CONFORME NBR 9050</v>
      </c>
      <c r="E667" s="123">
        <v>2</v>
      </c>
      <c r="F667" s="125"/>
      <c r="G667" s="105">
        <f t="shared" si="51"/>
        <v>0</v>
      </c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5.5" customHeight="1">
      <c r="A668" s="580">
        <v>37.14</v>
      </c>
      <c r="B668" s="341" t="s">
        <v>271</v>
      </c>
      <c r="C668" s="124" t="s">
        <v>45</v>
      </c>
      <c r="D668" s="153" t="str">
        <f>'Composição de Custos '!D179</f>
        <v>BARRA DE APOIO RETA, EM ACO INOX POLIDO, COMPRIMENTO 40CM, DIAMETRO MINIMO 3, FIXAÇÃO VERTICAL NA PAREDE</v>
      </c>
      <c r="E668" s="123">
        <v>2</v>
      </c>
      <c r="F668" s="125"/>
      <c r="G668" s="105">
        <f t="shared" si="51"/>
        <v>0</v>
      </c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2.75" customHeight="1">
      <c r="A669" s="132">
        <v>37.15</v>
      </c>
      <c r="B669" s="422" t="str">
        <f>'Composição de Custos '!A964</f>
        <v>C0089</v>
      </c>
      <c r="C669" s="97" t="s">
        <v>60</v>
      </c>
      <c r="D669" s="103" t="str">
        <f>'Composição de Custos '!D964</f>
        <v>RETIRADA DE ESPELHO  E INSTALAÇÃO DE NOVO  ESPELHO</v>
      </c>
      <c r="E669" s="123">
        <f>0.9*0.4</f>
        <v>0.36000000000000004</v>
      </c>
      <c r="F669" s="125"/>
      <c r="G669" s="105">
        <f t="shared" si="51"/>
        <v>0</v>
      </c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2.75" customHeight="1">
      <c r="A670" s="580">
        <v>37.159999999999897</v>
      </c>
      <c r="B670" s="133">
        <v>87249</v>
      </c>
      <c r="C670" s="324" t="s">
        <v>60</v>
      </c>
      <c r="D670" s="325" t="s">
        <v>344</v>
      </c>
      <c r="E670" s="345">
        <v>2.65</v>
      </c>
      <c r="F670" s="125"/>
      <c r="G670" s="136">
        <f t="shared" si="51"/>
        <v>0</v>
      </c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2.75" customHeight="1">
      <c r="A671" s="132">
        <v>37.169999999999902</v>
      </c>
      <c r="B671" s="133">
        <v>99803</v>
      </c>
      <c r="C671" s="133" t="s">
        <v>82</v>
      </c>
      <c r="D671" s="134" t="s">
        <v>186</v>
      </c>
      <c r="E671" s="135">
        <v>10</v>
      </c>
      <c r="F671" s="125"/>
      <c r="G671" s="136">
        <f t="shared" si="51"/>
        <v>0</v>
      </c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2.75" customHeight="1">
      <c r="A672" s="486"/>
      <c r="B672" s="113"/>
      <c r="C672" s="113"/>
      <c r="D672" s="705" t="s">
        <v>84</v>
      </c>
      <c r="E672" s="682"/>
      <c r="F672" s="683"/>
      <c r="G672" s="130">
        <f>SUM(G655:G671)</f>
        <v>0</v>
      </c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2.75" customHeight="1">
      <c r="A673" s="95">
        <v>38</v>
      </c>
      <c r="B673" s="696" t="s">
        <v>726</v>
      </c>
      <c r="C673" s="682"/>
      <c r="D673" s="682"/>
      <c r="E673" s="682"/>
      <c r="F673" s="682"/>
      <c r="G673" s="683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5.5" customHeight="1">
      <c r="A674" s="128">
        <v>38.1</v>
      </c>
      <c r="B674" s="586" t="s">
        <v>189</v>
      </c>
      <c r="C674" s="396" t="s">
        <v>45</v>
      </c>
      <c r="D674" s="292" t="str">
        <f>'Composição de Custos '!D79</f>
        <v>SUBSTITUIÇÃO DA PORTA SANITÁRIO ACESSÍVEL COM INSTALAÇÃO DE CHAPA ( 2 lados) E PUXADOR HORIZONTAL( COMPRIMENTO 45CM E DIAM. 3CM)  PORTA DE 90</v>
      </c>
      <c r="E674" s="394">
        <v>1</v>
      </c>
      <c r="F674" s="125"/>
      <c r="G674" s="189">
        <f>F674*E674</f>
        <v>0</v>
      </c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38.25" customHeight="1">
      <c r="A675" s="128">
        <v>38.200000000000003</v>
      </c>
      <c r="B675" s="97">
        <v>97622</v>
      </c>
      <c r="C675" s="97" t="s">
        <v>82</v>
      </c>
      <c r="D675" s="103" t="s">
        <v>585</v>
      </c>
      <c r="E675" s="286">
        <f>0.1*2.1*0.15</f>
        <v>3.15E-2</v>
      </c>
      <c r="F675" s="125"/>
      <c r="G675" s="256">
        <f>E675*F675</f>
        <v>0</v>
      </c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38.25" customHeight="1">
      <c r="A676" s="128">
        <v>38.299999999999997</v>
      </c>
      <c r="B676" s="97">
        <v>87274</v>
      </c>
      <c r="C676" s="97" t="s">
        <v>60</v>
      </c>
      <c r="D676" s="103" t="s">
        <v>290</v>
      </c>
      <c r="E676" s="286">
        <f>0.33*1.6</f>
        <v>0.52800000000000002</v>
      </c>
      <c r="F676" s="125"/>
      <c r="G676" s="256">
        <f t="shared" ref="G676:G687" si="52">F676*E676</f>
        <v>0</v>
      </c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38.25" customHeight="1">
      <c r="A677" s="128">
        <v>38.4</v>
      </c>
      <c r="B677" s="97" t="str">
        <f>'Composição de Custos '!A199</f>
        <v>C017</v>
      </c>
      <c r="C677" s="97" t="s">
        <v>45</v>
      </c>
      <c r="D677" s="103" t="str">
        <f>'Composição de Custos '!D199</f>
        <v xml:space="preserve">RETIRADA E ASSENTAMENTO DE SOLEIRA EM GRANITO VERDE UBATUBA, TABEIRA, DEGRAUS E SOLEIRAS, ASSENTADO COM ARGAMASSA AC-III CONFORME PROJETO </v>
      </c>
      <c r="E677" s="190">
        <v>1</v>
      </c>
      <c r="F677" s="125"/>
      <c r="G677" s="256">
        <f t="shared" si="52"/>
        <v>0</v>
      </c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38.25" customHeight="1">
      <c r="A678" s="128">
        <v>38.5</v>
      </c>
      <c r="B678" s="97">
        <v>90830</v>
      </c>
      <c r="C678" s="97" t="s">
        <v>45</v>
      </c>
      <c r="D678" s="103" t="s">
        <v>295</v>
      </c>
      <c r="E678" s="190">
        <v>1</v>
      </c>
      <c r="F678" s="125"/>
      <c r="G678" s="105">
        <f t="shared" si="52"/>
        <v>0</v>
      </c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5.5" customHeight="1">
      <c r="A679" s="128">
        <v>38.6</v>
      </c>
      <c r="B679" s="97" t="s">
        <v>230</v>
      </c>
      <c r="C679" s="124" t="s">
        <v>45</v>
      </c>
      <c r="D679" s="103" t="str">
        <f>'Composição de Custos '!D279</f>
        <v>PLACA DE SINALIZAÇÃO EM BRAILLE E AUTORELEVO 20 X 40 - ACRILICO COM SIMBOLO INTERNACIONAL DE ACESSO CONFORME PROJETO</v>
      </c>
      <c r="E679" s="125">
        <v>1</v>
      </c>
      <c r="F679" s="125"/>
      <c r="G679" s="105">
        <f t="shared" si="52"/>
        <v>0</v>
      </c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5.5" customHeight="1">
      <c r="A680" s="128">
        <v>38.700000000000003</v>
      </c>
      <c r="B680" s="144" t="str">
        <f>'Composição de Custos '!A79</f>
        <v>C007</v>
      </c>
      <c r="C680" s="144" t="s">
        <v>45</v>
      </c>
      <c r="D680" s="103" t="str">
        <f>'Composição de Custos '!D79</f>
        <v>SUBSTITUIÇÃO DA PORTA SANITÁRIO ACESSÍVEL COM INSTALAÇÃO DE CHAPA ( 2 lados) E PUXADOR HORIZONTAL( COMPRIMENTO 45CM E DIAM. 3CM)  PORTA DE 90</v>
      </c>
      <c r="E680" s="129">
        <v>1</v>
      </c>
      <c r="F680" s="125"/>
      <c r="G680" s="105">
        <f t="shared" si="52"/>
        <v>0</v>
      </c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2.75" customHeight="1">
      <c r="A681" s="128">
        <v>38.799999999999997</v>
      </c>
      <c r="B681" s="97" t="s">
        <v>429</v>
      </c>
      <c r="C681" s="124" t="s">
        <v>45</v>
      </c>
      <c r="D681" s="103" t="str">
        <f>'Composição de Custos '!D513</f>
        <v>RETIRADA DE LOUÇAS SANITÁRIAS</v>
      </c>
      <c r="E681" s="439">
        <v>2</v>
      </c>
      <c r="F681" s="125"/>
      <c r="G681" s="105">
        <f t="shared" si="52"/>
        <v>0</v>
      </c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33.75" customHeight="1">
      <c r="A682" s="128">
        <v>38.9</v>
      </c>
      <c r="B682" s="97" t="s">
        <v>565</v>
      </c>
      <c r="C682" s="124" t="s">
        <v>45</v>
      </c>
      <c r="D682" s="103" t="str">
        <f>'Composição de Custos '!D957</f>
        <v>LAVATÓRIO LOUÇA BRANCA SUSPENSO, 29,5 X 39CM OU EQUIVALENTE, PADRÃO POPULAR - FORNECIMENTO E INSTALAÇÃO. AF_12/2013</v>
      </c>
      <c r="E682" s="123">
        <v>1</v>
      </c>
      <c r="F682" s="125"/>
      <c r="G682" s="105">
        <f t="shared" si="52"/>
        <v>0</v>
      </c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5.5" customHeight="1">
      <c r="A683" s="580">
        <v>38.1</v>
      </c>
      <c r="B683" s="341" t="s">
        <v>202</v>
      </c>
      <c r="C683" s="124" t="s">
        <v>45</v>
      </c>
      <c r="D683" s="153" t="str">
        <f>'Composição de Custos '!D99</f>
        <v>TORNEIRA LAVATORIO PRESSMATIC,  VOLANTE TIPO ALAVANCA, PARA LAVATÓRIO DE P.N.E DOCOL OU SIMILAR</v>
      </c>
      <c r="E683" s="123">
        <v>1</v>
      </c>
      <c r="F683" s="125"/>
      <c r="G683" s="105">
        <f t="shared" si="52"/>
        <v>0</v>
      </c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38.25" customHeight="1">
      <c r="A684" s="128">
        <v>38.11</v>
      </c>
      <c r="B684" s="97" t="s">
        <v>386</v>
      </c>
      <c r="C684" s="124" t="s">
        <v>45</v>
      </c>
      <c r="D684" s="103" t="str">
        <f>'Composição de Custos '!D353</f>
        <v>READEQUAÇÃO DA ALTURA DE APARELHOS SANITÁRIOS   ATRAVÉS DA INSTALAÇÃO DE SÓCULO NA BASE PARA ADEQUAÇÃO DA NORMA DE ACESSIBILIDADE NBR 9050, ITEM 7.3.14</v>
      </c>
      <c r="E684" s="123">
        <v>1</v>
      </c>
      <c r="F684" s="125"/>
      <c r="G684" s="105">
        <f t="shared" si="52"/>
        <v>0</v>
      </c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5.5" customHeight="1">
      <c r="A685" s="580">
        <v>38.119999999999997</v>
      </c>
      <c r="B685" s="341" t="s">
        <v>271</v>
      </c>
      <c r="C685" s="124" t="s">
        <v>45</v>
      </c>
      <c r="D685" s="153" t="str">
        <f>'Composição de Custos '!D179</f>
        <v>BARRA DE APOIO RETA, EM ACO INOX POLIDO, COMPRIMENTO 40CM, DIAMETRO MINIMO 3, FIXAÇÃO VERTICAL NA PAREDE</v>
      </c>
      <c r="E685" s="123">
        <v>2</v>
      </c>
      <c r="F685" s="125"/>
      <c r="G685" s="105">
        <f t="shared" si="52"/>
        <v>0</v>
      </c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2.75" customHeight="1">
      <c r="A686" s="128">
        <v>38.130000000000003</v>
      </c>
      <c r="B686" s="124" t="str">
        <f>'Composição de Custos '!A72</f>
        <v>C006</v>
      </c>
      <c r="C686" s="124" t="s">
        <v>674</v>
      </c>
      <c r="D686" s="31" t="str">
        <f>'Composição de Custos '!D72</f>
        <v xml:space="preserve">BARRA DE APOIO EM TUBO DE AÇO INOXIDÁVEL OU ALUMÍNIO, COM 70 CM, DIAM. 30 À 45 MM, FIXAÇÃO VERTICAL OU HORIZONTAL  </v>
      </c>
      <c r="E686" s="123">
        <v>1</v>
      </c>
      <c r="F686" s="125"/>
      <c r="G686" s="105">
        <f t="shared" si="52"/>
        <v>0</v>
      </c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2.75" customHeight="1">
      <c r="A687" s="580">
        <v>38.14</v>
      </c>
      <c r="B687" s="422" t="str">
        <f>'Composição de Custos '!A964</f>
        <v>C0089</v>
      </c>
      <c r="C687" s="97" t="s">
        <v>60</v>
      </c>
      <c r="D687" s="103" t="str">
        <f>'Composição de Custos '!D964</f>
        <v>RETIRADA DE ESPELHO  E INSTALAÇÃO DE NOVO  ESPELHO</v>
      </c>
      <c r="E687" s="123">
        <f>0.4*0.9</f>
        <v>0.36000000000000004</v>
      </c>
      <c r="F687" s="125"/>
      <c r="G687" s="105">
        <f t="shared" si="52"/>
        <v>0</v>
      </c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2.75" customHeight="1">
      <c r="A688" s="128">
        <v>38.15</v>
      </c>
      <c r="B688" s="587" t="str">
        <f>'Composição de Custos '!A158</f>
        <v>C013</v>
      </c>
      <c r="C688" s="324" t="s">
        <v>674</v>
      </c>
      <c r="D688" s="325" t="str">
        <f>'Composição de Custos '!D158</f>
        <v>BARRA DE APOIO HORIZONTAL, EM AÇO INOX PARA P.N.E L = 80CM (VASO SANITÁRIO) CONFORME NBR 9050</v>
      </c>
      <c r="E688" s="345">
        <v>2</v>
      </c>
      <c r="F688" s="125"/>
      <c r="G688" s="136">
        <f>E688*F688</f>
        <v>0</v>
      </c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2.75" customHeight="1">
      <c r="A689" s="580">
        <v>38.159999999999897</v>
      </c>
      <c r="B689" s="133">
        <v>87249</v>
      </c>
      <c r="C689" s="324" t="s">
        <v>60</v>
      </c>
      <c r="D689" s="325" t="s">
        <v>344</v>
      </c>
      <c r="E689" s="345">
        <v>2.65</v>
      </c>
      <c r="F689" s="125"/>
      <c r="G689" s="136">
        <f t="shared" ref="G689:G690" si="53">F689*E689</f>
        <v>0</v>
      </c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2.75" customHeight="1">
      <c r="A690" s="128">
        <v>38.169999999999902</v>
      </c>
      <c r="B690" s="133">
        <v>99803</v>
      </c>
      <c r="C690" s="133" t="s">
        <v>82</v>
      </c>
      <c r="D690" s="134" t="s">
        <v>186</v>
      </c>
      <c r="E690" s="135">
        <v>10</v>
      </c>
      <c r="F690" s="125"/>
      <c r="G690" s="136">
        <f t="shared" si="53"/>
        <v>0</v>
      </c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2.75" customHeight="1">
      <c r="A691" s="511"/>
      <c r="B691" s="185"/>
      <c r="C691" s="185"/>
      <c r="D691" s="702" t="s">
        <v>84</v>
      </c>
      <c r="E691" s="703"/>
      <c r="F691" s="704"/>
      <c r="G691" s="187">
        <f>SUM(G674:G690)</f>
        <v>0</v>
      </c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2.75" customHeight="1">
      <c r="A692" s="95">
        <v>39</v>
      </c>
      <c r="B692" s="696" t="s">
        <v>727</v>
      </c>
      <c r="C692" s="682"/>
      <c r="D692" s="682"/>
      <c r="E692" s="682"/>
      <c r="F692" s="682"/>
      <c r="G692" s="683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5.5" customHeight="1">
      <c r="A693" s="128">
        <v>39.1</v>
      </c>
      <c r="B693" s="258" t="s">
        <v>189</v>
      </c>
      <c r="C693" s="396" t="s">
        <v>45</v>
      </c>
      <c r="D693" s="259" t="str">
        <f>'Composição de Custos '!D79</f>
        <v>SUBSTITUIÇÃO DA PORTA SANITÁRIO ACESSÍVEL COM INSTALAÇÃO DE CHAPA ( 2 lados) E PUXADOR HORIZONTAL( COMPRIMENTO 45CM E DIAM. 3CM)  PORTA DE 90</v>
      </c>
      <c r="E693" s="394">
        <v>2</v>
      </c>
      <c r="F693" s="125"/>
      <c r="G693" s="189">
        <f>F693*E693</f>
        <v>0</v>
      </c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38.25" customHeight="1">
      <c r="A694" s="128">
        <v>39.200000000000003</v>
      </c>
      <c r="B694" s="97">
        <v>97622</v>
      </c>
      <c r="C694" s="97" t="s">
        <v>82</v>
      </c>
      <c r="D694" s="103" t="s">
        <v>585</v>
      </c>
      <c r="E694" s="286">
        <f>0.1*2.1*0.15</f>
        <v>3.15E-2</v>
      </c>
      <c r="F694" s="125"/>
      <c r="G694" s="256">
        <f>E694*F694</f>
        <v>0</v>
      </c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38.25" customHeight="1">
      <c r="A695" s="128">
        <v>39.299999999999997</v>
      </c>
      <c r="B695" s="97">
        <v>87274</v>
      </c>
      <c r="C695" s="97" t="s">
        <v>60</v>
      </c>
      <c r="D695" s="103" t="s">
        <v>290</v>
      </c>
      <c r="E695" s="129">
        <f>0.33*1.6</f>
        <v>0.52800000000000002</v>
      </c>
      <c r="F695" s="125"/>
      <c r="G695" s="105">
        <f t="shared" ref="G695:G710" si="54">F695*E695</f>
        <v>0</v>
      </c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38.25" customHeight="1">
      <c r="A696" s="128">
        <v>39.4</v>
      </c>
      <c r="B696" s="585" t="str">
        <f>'Composição de Custos '!A199</f>
        <v>C017</v>
      </c>
      <c r="C696" s="97" t="str">
        <f>'Composição de Custos '!C199</f>
        <v>UN</v>
      </c>
      <c r="D696" s="31" t="str">
        <f>'Composição de Custos '!D199</f>
        <v xml:space="preserve">RETIRADA E ASSENTAMENTO DE SOLEIRA EM GRANITO VERDE UBATUBA, TABEIRA, DEGRAUS E SOLEIRAS, ASSENTADO COM ARGAMASSA AC-III CONFORME PROJETO </v>
      </c>
      <c r="E696" s="190">
        <v>1</v>
      </c>
      <c r="F696" s="125"/>
      <c r="G696" s="105">
        <f t="shared" si="54"/>
        <v>0</v>
      </c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38.25" customHeight="1">
      <c r="A697" s="128">
        <v>39.5</v>
      </c>
      <c r="B697" s="97">
        <v>90830</v>
      </c>
      <c r="C697" s="97" t="s">
        <v>45</v>
      </c>
      <c r="D697" s="103" t="s">
        <v>295</v>
      </c>
      <c r="E697" s="190">
        <v>2</v>
      </c>
      <c r="F697" s="125"/>
      <c r="G697" s="105">
        <f t="shared" si="54"/>
        <v>0</v>
      </c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5.5" customHeight="1">
      <c r="A698" s="128">
        <v>39.6</v>
      </c>
      <c r="B698" s="97" t="s">
        <v>230</v>
      </c>
      <c r="C698" s="124" t="s">
        <v>45</v>
      </c>
      <c r="D698" s="103" t="str">
        <f>'Composição de Custos '!D279</f>
        <v>PLACA DE SINALIZAÇÃO EM BRAILLE E AUTORELEVO 20 X 40 - ACRILICO COM SIMBOLO INTERNACIONAL DE ACESSO CONFORME PROJETO</v>
      </c>
      <c r="E698" s="125">
        <v>2</v>
      </c>
      <c r="F698" s="125"/>
      <c r="G698" s="105">
        <f t="shared" si="54"/>
        <v>0</v>
      </c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2.75" customHeight="1">
      <c r="A699" s="128">
        <v>39.700000000000003</v>
      </c>
      <c r="B699" s="97" t="s">
        <v>429</v>
      </c>
      <c r="C699" s="124" t="s">
        <v>45</v>
      </c>
      <c r="D699" s="103" t="str">
        <f>'Composição de Custos '!D513</f>
        <v>RETIRADA DE LOUÇAS SANITÁRIAS</v>
      </c>
      <c r="E699" s="439">
        <v>4</v>
      </c>
      <c r="F699" s="125"/>
      <c r="G699" s="105">
        <f t="shared" si="54"/>
        <v>0</v>
      </c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9.25" customHeight="1">
      <c r="A700" s="128">
        <v>39.799999999999997</v>
      </c>
      <c r="B700" s="97" t="s">
        <v>565</v>
      </c>
      <c r="C700" s="124" t="s">
        <v>45</v>
      </c>
      <c r="D700" s="103" t="str">
        <f>'Composição de Custos '!D957</f>
        <v>LAVATÓRIO LOUÇA BRANCA SUSPENSO, 29,5 X 39CM OU EQUIVALENTE, PADRÃO POPULAR - FORNECIMENTO E INSTALAÇÃO. AF_12/2013</v>
      </c>
      <c r="E700" s="105">
        <v>2</v>
      </c>
      <c r="F700" s="125"/>
      <c r="G700" s="105">
        <f t="shared" si="54"/>
        <v>0</v>
      </c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5.5" customHeight="1">
      <c r="A701" s="128">
        <v>39.9</v>
      </c>
      <c r="B701" s="97" t="s">
        <v>202</v>
      </c>
      <c r="C701" s="124" t="s">
        <v>45</v>
      </c>
      <c r="D701" s="103" t="str">
        <f>'Composição de Custos '!D99</f>
        <v>TORNEIRA LAVATORIO PRESSMATIC,  VOLANTE TIPO ALAVANCA, PARA LAVATÓRIO DE P.N.E DOCOL OU SIMILAR</v>
      </c>
      <c r="E701" s="105">
        <v>2</v>
      </c>
      <c r="F701" s="125"/>
      <c r="G701" s="105">
        <f t="shared" si="54"/>
        <v>0</v>
      </c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2.75" customHeight="1">
      <c r="A702" s="580">
        <v>39.1</v>
      </c>
      <c r="B702" s="97" t="s">
        <v>390</v>
      </c>
      <c r="C702" s="124" t="s">
        <v>45</v>
      </c>
      <c r="D702" s="103" t="str">
        <f>'Composição de Custos '!D362</f>
        <v>ADEQUAÇÃO DE ALTURA DE BARRAS DE APOIO EXISTENTES</v>
      </c>
      <c r="E702" s="123">
        <v>2</v>
      </c>
      <c r="F702" s="125"/>
      <c r="G702" s="105">
        <f t="shared" si="54"/>
        <v>0</v>
      </c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38.25" customHeight="1">
      <c r="A703" s="128">
        <v>39.11</v>
      </c>
      <c r="B703" s="97" t="s">
        <v>723</v>
      </c>
      <c r="C703" s="124" t="s">
        <v>45</v>
      </c>
      <c r="D703" s="103" t="str">
        <f>'Composição de Custos '!D353</f>
        <v>READEQUAÇÃO DA ALTURA DE APARELHOS SANITÁRIOS   ATRAVÉS DA INSTALAÇÃO DE SÓCULO NA BASE PARA ADEQUAÇÃO DA NORMA DE ACESSIBILIDADE NBR 9050, ITEM 7.3.14</v>
      </c>
      <c r="E703" s="105">
        <v>2</v>
      </c>
      <c r="F703" s="125"/>
      <c r="G703" s="105">
        <f t="shared" si="54"/>
        <v>0</v>
      </c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2.75" customHeight="1">
      <c r="A704" s="580">
        <v>39.119999999999997</v>
      </c>
      <c r="B704" s="97" t="str">
        <f>'Composição de Custos '!A122</f>
        <v>C009.2.1</v>
      </c>
      <c r="C704" s="124" t="s">
        <v>45</v>
      </c>
      <c r="D704" s="103" t="str">
        <f>'Composição de Custos '!D122</f>
        <v>RELOCAÇÃO DE TOALHEIRO PLASTICO TIPO DISPENSER PARA PAPEL INTERFOLHADO PARA BOX SANITÁRIO</v>
      </c>
      <c r="E704" s="123">
        <v>2</v>
      </c>
      <c r="F704" s="125"/>
      <c r="G704" s="105">
        <f t="shared" si="54"/>
        <v>0</v>
      </c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5.5" customHeight="1">
      <c r="A705" s="128">
        <v>39.130000000000003</v>
      </c>
      <c r="B705" s="97" t="str">
        <f>'Composição de Custos '!A126</f>
        <v>C009.2.2</v>
      </c>
      <c r="C705" s="97" t="s">
        <v>45</v>
      </c>
      <c r="D705" s="103" t="str">
        <f>'Composição de Custos '!D126</f>
        <v>RELOCAÇÃO SABONETEIRA PLASTICA TIPO DISPENSER PARA SABONETE LIQUIDO COM RESERVATÓRIO 800 A 1500 ML</v>
      </c>
      <c r="E705" s="123">
        <v>2</v>
      </c>
      <c r="F705" s="125"/>
      <c r="G705" s="105">
        <f t="shared" si="54"/>
        <v>0</v>
      </c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4" customHeight="1">
      <c r="A706" s="580">
        <v>39.14</v>
      </c>
      <c r="B706" s="97" t="str">
        <f>'Composição de Custos '!A130</f>
        <v>C009.2.3</v>
      </c>
      <c r="C706" s="124" t="s">
        <v>45</v>
      </c>
      <c r="D706" s="103" t="str">
        <f>'Composição de Custos '!D130</f>
        <v xml:space="preserve">RELOCAÇÃO DE TOALHEIRO PLASTICO TIPO DISPENSER PARA PAPAEL TOALHA INTERFOLHADO </v>
      </c>
      <c r="E706" s="123">
        <v>2</v>
      </c>
      <c r="F706" s="125"/>
      <c r="G706" s="105">
        <f t="shared" si="54"/>
        <v>0</v>
      </c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4.75" customHeight="1">
      <c r="A707" s="128">
        <v>39.15</v>
      </c>
      <c r="B707" s="97" t="s">
        <v>271</v>
      </c>
      <c r="C707" s="124" t="s">
        <v>45</v>
      </c>
      <c r="D707" s="103" t="str">
        <f>'Composição de Custos '!D179</f>
        <v>BARRA DE APOIO RETA, EM ACO INOX POLIDO, COMPRIMENTO 40CM, DIAMETRO MINIMO 3, FIXAÇÃO VERTICAL NA PAREDE</v>
      </c>
      <c r="E707" s="424">
        <v>4</v>
      </c>
      <c r="F707" s="216"/>
      <c r="G707" s="256">
        <f t="shared" si="54"/>
        <v>0</v>
      </c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2.75" customHeight="1">
      <c r="A708" s="580">
        <v>39.159999999999897</v>
      </c>
      <c r="B708" s="97">
        <v>85005</v>
      </c>
      <c r="C708" s="97" t="s">
        <v>60</v>
      </c>
      <c r="D708" s="103" t="s">
        <v>263</v>
      </c>
      <c r="E708" s="105">
        <v>1.08</v>
      </c>
      <c r="F708" s="125"/>
      <c r="G708" s="105">
        <f t="shared" si="54"/>
        <v>0</v>
      </c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2.75" customHeight="1">
      <c r="A709" s="128">
        <v>39.169999999999902</v>
      </c>
      <c r="B709" s="133" t="s">
        <v>728</v>
      </c>
      <c r="C709" s="133" t="s">
        <v>125</v>
      </c>
      <c r="D709" s="134" t="s">
        <v>729</v>
      </c>
      <c r="E709" s="135">
        <v>1</v>
      </c>
      <c r="F709" s="135"/>
      <c r="G709" s="136">
        <f t="shared" si="54"/>
        <v>0</v>
      </c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2.75" customHeight="1">
      <c r="A710" s="580">
        <v>39.1799999999999</v>
      </c>
      <c r="B710" s="133">
        <v>99803</v>
      </c>
      <c r="C710" s="133" t="s">
        <v>82</v>
      </c>
      <c r="D710" s="134" t="s">
        <v>186</v>
      </c>
      <c r="E710" s="135">
        <v>6</v>
      </c>
      <c r="F710" s="135"/>
      <c r="G710" s="136">
        <f t="shared" si="54"/>
        <v>0</v>
      </c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2.75" customHeight="1">
      <c r="A711" s="185"/>
      <c r="B711" s="185"/>
      <c r="C711" s="185"/>
      <c r="D711" s="702" t="s">
        <v>84</v>
      </c>
      <c r="E711" s="703"/>
      <c r="F711" s="704"/>
      <c r="G711" s="230">
        <f>SUM(G693:G710)</f>
        <v>0</v>
      </c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2.75" customHeight="1">
      <c r="A712" s="95">
        <v>40</v>
      </c>
      <c r="B712" s="696" t="s">
        <v>730</v>
      </c>
      <c r="C712" s="682"/>
      <c r="D712" s="682"/>
      <c r="E712" s="682"/>
      <c r="F712" s="682"/>
      <c r="G712" s="683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5.5" customHeight="1">
      <c r="A713" s="128">
        <v>40.1</v>
      </c>
      <c r="B713" s="124">
        <v>97622</v>
      </c>
      <c r="C713" s="124" t="s">
        <v>82</v>
      </c>
      <c r="D713" s="279" t="s">
        <v>731</v>
      </c>
      <c r="E713" s="129">
        <v>0.44</v>
      </c>
      <c r="F713" s="125"/>
      <c r="G713" s="105">
        <f t="shared" ref="G713:G733" si="55">F713*E713</f>
        <v>0</v>
      </c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2.75" customHeight="1">
      <c r="A714" s="128">
        <v>40.200000000000003</v>
      </c>
      <c r="B714" s="97">
        <v>97644</v>
      </c>
      <c r="C714" s="124" t="s">
        <v>60</v>
      </c>
      <c r="D714" s="103" t="s">
        <v>732</v>
      </c>
      <c r="E714" s="123">
        <v>1.8</v>
      </c>
      <c r="F714" s="125"/>
      <c r="G714" s="105">
        <f t="shared" si="55"/>
        <v>0</v>
      </c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2.75" customHeight="1">
      <c r="A715" s="128">
        <v>40.299999999999997</v>
      </c>
      <c r="B715" s="341">
        <v>90838</v>
      </c>
      <c r="C715" s="124" t="s">
        <v>45</v>
      </c>
      <c r="D715" s="279" t="s">
        <v>733</v>
      </c>
      <c r="E715" s="129">
        <v>1</v>
      </c>
      <c r="F715" s="125"/>
      <c r="G715" s="105">
        <f t="shared" si="55"/>
        <v>0</v>
      </c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" customHeight="1">
      <c r="A716" s="128">
        <v>40.4</v>
      </c>
      <c r="B716" s="124">
        <v>39615</v>
      </c>
      <c r="C716" s="124" t="s">
        <v>125</v>
      </c>
      <c r="D716" s="563" t="s">
        <v>734</v>
      </c>
      <c r="E716" s="105">
        <v>1</v>
      </c>
      <c r="F716" s="105"/>
      <c r="G716" s="105">
        <f t="shared" si="55"/>
        <v>0</v>
      </c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5.5" customHeight="1">
      <c r="A717" s="128">
        <v>40.5</v>
      </c>
      <c r="B717" s="124" t="s">
        <v>566</v>
      </c>
      <c r="C717" s="124" t="s">
        <v>60</v>
      </c>
      <c r="D717" s="343" t="str">
        <f>'Composição de Custos '!D656</f>
        <v>INSTALAÇÃO DE PERFIL METALICO 1,50 CM PARA BOCEL CONFORME PROJETO E NORMAS</v>
      </c>
      <c r="E717" s="129">
        <v>18.399999999999999</v>
      </c>
      <c r="F717" s="129"/>
      <c r="G717" s="105">
        <f t="shared" si="55"/>
        <v>0</v>
      </c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5.5" customHeight="1">
      <c r="A718" s="128">
        <v>40.6</v>
      </c>
      <c r="B718" s="124" t="s">
        <v>568</v>
      </c>
      <c r="C718" s="124" t="s">
        <v>60</v>
      </c>
      <c r="D718" s="343" t="str">
        <f>'Composição de Custos '!D663</f>
        <v>INSTALAÇÃO DE COMPLEMENTO DE CHAPA XADREZ PARA PISO NA ESCADA METÁLICA , E=CHAPA XADREZ 3/16" - 4,75MM - PARA  GUIA DE BALIZAMENTO</v>
      </c>
      <c r="E718" s="129">
        <v>19.100000000000001</v>
      </c>
      <c r="F718" s="129"/>
      <c r="G718" s="105">
        <f t="shared" si="55"/>
        <v>0</v>
      </c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30" customHeight="1">
      <c r="A719" s="128">
        <v>40.700000000000003</v>
      </c>
      <c r="B719" s="97">
        <v>97631</v>
      </c>
      <c r="C719" s="97" t="s">
        <v>60</v>
      </c>
      <c r="D719" s="103" t="s">
        <v>735</v>
      </c>
      <c r="E719" s="129">
        <v>0.25</v>
      </c>
      <c r="F719" s="125"/>
      <c r="G719" s="105">
        <f t="shared" si="55"/>
        <v>0</v>
      </c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5.5" customHeight="1">
      <c r="A720" s="128">
        <v>40.799999999999997</v>
      </c>
      <c r="B720" s="97" t="s">
        <v>161</v>
      </c>
      <c r="C720" s="97" t="s">
        <v>60</v>
      </c>
      <c r="D720" s="103" t="str">
        <f>'Composição de Custos '!D52</f>
        <v>INSTALAÇÃO DE LADRILHO HIDRAULICO TÁTIIL DIRECIONAL OU ALERTA 25X25 COR AMARELA  (ÁREA EXTERNA), INCLUSIVE EXECUÇÃO DE RASGOS NO PISO EXISTENTE PARA ENCAIXE DAS PEÇAS.</v>
      </c>
      <c r="E720" s="129">
        <v>0.25</v>
      </c>
      <c r="F720" s="129"/>
      <c r="G720" s="256">
        <f t="shared" si="55"/>
        <v>0</v>
      </c>
      <c r="H720" s="588">
        <v>73631</v>
      </c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38.25" customHeight="1">
      <c r="A721" s="128">
        <v>40.9</v>
      </c>
      <c r="B721" s="97" t="s">
        <v>105</v>
      </c>
      <c r="C721" s="124" t="s">
        <v>70</v>
      </c>
      <c r="D721" s="103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721" s="123">
        <v>15</v>
      </c>
      <c r="F721" s="589"/>
      <c r="G721" s="105">
        <f t="shared" si="55"/>
        <v>0</v>
      </c>
      <c r="H721" s="161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6.25" customHeight="1">
      <c r="A722" s="368">
        <v>40.1</v>
      </c>
      <c r="B722" s="590" t="str">
        <f>'Composição de Custos '!A937</f>
        <v>C086</v>
      </c>
      <c r="C722" s="133" t="s">
        <v>70</v>
      </c>
      <c r="D722" s="137" t="str">
        <f>'Composição de Custos '!D937</f>
        <v>GUARDA-CORPO DE AÇO GALVANIZADO DE 1,10M, TRAVESSA SUPERIOR E INFERIOR DE 1.1/2", GRADIL FORMADO POR TUBOS  VERTICAIS DE 1", FIXADO COM ESPAÇAMENTO A CADA 10CM.</v>
      </c>
      <c r="E722" s="168">
        <v>12.39</v>
      </c>
      <c r="F722" s="168"/>
      <c r="G722" s="591">
        <f t="shared" si="55"/>
        <v>0</v>
      </c>
      <c r="H722" s="592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2.75" customHeight="1">
      <c r="A723" s="128">
        <v>40.11</v>
      </c>
      <c r="B723" s="97" t="s">
        <v>147</v>
      </c>
      <c r="C723" s="97" t="s">
        <v>60</v>
      </c>
      <c r="D723" s="193" t="s">
        <v>148</v>
      </c>
      <c r="E723" s="123">
        <v>36.43</v>
      </c>
      <c r="F723" s="125"/>
      <c r="G723" s="105">
        <f t="shared" si="55"/>
        <v>0</v>
      </c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5.5" customHeight="1">
      <c r="A724" s="128">
        <v>40.119999999999997</v>
      </c>
      <c r="B724" s="97" t="s">
        <v>136</v>
      </c>
      <c r="C724" s="593" t="s">
        <v>45</v>
      </c>
      <c r="D724" s="103" t="str">
        <f>'Composição de Custos '!D27</f>
        <v>SINALIZAÇÃO EM BRAILE EM ALUMÍNIO AUTO ADESIVO (100X30) MM COM ESP. 0,25MM - INDICA O PAVIMENTO</v>
      </c>
      <c r="E724" s="123">
        <v>4</v>
      </c>
      <c r="F724" s="105"/>
      <c r="G724" s="105">
        <f t="shared" si="55"/>
        <v>0</v>
      </c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5.5" customHeight="1">
      <c r="A725" s="128">
        <v>40.130000000000003</v>
      </c>
      <c r="B725" s="97" t="s">
        <v>141</v>
      </c>
      <c r="C725" s="124" t="s">
        <v>45</v>
      </c>
      <c r="D725" s="103" t="str">
        <f>'Composição de Custos '!D33</f>
        <v>INSTALAÇÃO DE FAIXA DE SINALIZAÇÃO VISUAL FOTOLUMINESCENTE DE DEGRAUS COMP. 7 CM X LARG. 3.5CM.</v>
      </c>
      <c r="E725" s="123">
        <v>40</v>
      </c>
      <c r="F725" s="123"/>
      <c r="G725" s="105">
        <f t="shared" si="55"/>
        <v>0</v>
      </c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2.75" customHeight="1">
      <c r="A726" s="128">
        <v>40.14</v>
      </c>
      <c r="B726" s="97">
        <v>72897</v>
      </c>
      <c r="C726" s="124" t="s">
        <v>82</v>
      </c>
      <c r="D726" s="103" t="s">
        <v>83</v>
      </c>
      <c r="E726" s="123">
        <v>3.5</v>
      </c>
      <c r="F726" s="125"/>
      <c r="G726" s="105">
        <f t="shared" si="55"/>
        <v>0</v>
      </c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2.75" customHeight="1">
      <c r="A727" s="128">
        <v>40.15</v>
      </c>
      <c r="B727" s="133" t="s">
        <v>679</v>
      </c>
      <c r="C727" s="133" t="s">
        <v>45</v>
      </c>
      <c r="D727" s="134" t="s">
        <v>682</v>
      </c>
      <c r="E727" s="168">
        <v>1</v>
      </c>
      <c r="F727" s="168"/>
      <c r="G727" s="136">
        <f t="shared" si="55"/>
        <v>0</v>
      </c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2.75" customHeight="1">
      <c r="A728" s="128">
        <v>40.159999999999997</v>
      </c>
      <c r="B728" s="133" t="s">
        <v>486</v>
      </c>
      <c r="C728" s="133" t="s">
        <v>60</v>
      </c>
      <c r="D728" s="134" t="s">
        <v>487</v>
      </c>
      <c r="E728" s="168">
        <v>1</v>
      </c>
      <c r="F728" s="168"/>
      <c r="G728" s="136">
        <f t="shared" si="55"/>
        <v>0</v>
      </c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2.75" customHeight="1">
      <c r="A729" s="128">
        <v>40.17</v>
      </c>
      <c r="B729" s="133" t="s">
        <v>385</v>
      </c>
      <c r="C729" s="133" t="s">
        <v>60</v>
      </c>
      <c r="D729" s="134" t="s">
        <v>736</v>
      </c>
      <c r="E729" s="168">
        <v>14.95</v>
      </c>
      <c r="F729" s="168"/>
      <c r="G729" s="136">
        <f t="shared" si="55"/>
        <v>0</v>
      </c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2.75" customHeight="1">
      <c r="A730" s="128">
        <v>40.18</v>
      </c>
      <c r="B730" s="133">
        <v>96359</v>
      </c>
      <c r="C730" s="133" t="s">
        <v>60</v>
      </c>
      <c r="D730" s="134" t="s">
        <v>737</v>
      </c>
      <c r="E730" s="168">
        <v>10.56</v>
      </c>
      <c r="F730" s="168"/>
      <c r="G730" s="136">
        <f t="shared" si="55"/>
        <v>0</v>
      </c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2.75" customHeight="1">
      <c r="A731" s="128">
        <v>40.19</v>
      </c>
      <c r="B731" s="133">
        <v>72144</v>
      </c>
      <c r="C731" s="133" t="s">
        <v>125</v>
      </c>
      <c r="D731" s="134" t="s">
        <v>738</v>
      </c>
      <c r="E731" s="168">
        <v>1</v>
      </c>
      <c r="F731" s="168"/>
      <c r="G731" s="136">
        <f t="shared" si="55"/>
        <v>0</v>
      </c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2.75" customHeight="1">
      <c r="A732" s="368">
        <v>40.200000000000003</v>
      </c>
      <c r="B732" s="133">
        <v>88489</v>
      </c>
      <c r="C732" s="133" t="s">
        <v>60</v>
      </c>
      <c r="D732" s="134" t="s">
        <v>398</v>
      </c>
      <c r="E732" s="168">
        <v>21.12</v>
      </c>
      <c r="F732" s="168"/>
      <c r="G732" s="136">
        <f t="shared" si="55"/>
        <v>0</v>
      </c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2.75" customHeight="1">
      <c r="A733" s="128">
        <v>40.21</v>
      </c>
      <c r="B733" s="133">
        <v>99803</v>
      </c>
      <c r="C733" s="133" t="s">
        <v>82</v>
      </c>
      <c r="D733" s="134" t="s">
        <v>186</v>
      </c>
      <c r="E733" s="168">
        <v>24</v>
      </c>
      <c r="F733" s="168"/>
      <c r="G733" s="136">
        <f t="shared" si="55"/>
        <v>0</v>
      </c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25" customHeight="1">
      <c r="A734" s="486"/>
      <c r="B734" s="113"/>
      <c r="C734" s="113"/>
      <c r="D734" s="705" t="s">
        <v>84</v>
      </c>
      <c r="E734" s="682"/>
      <c r="F734" s="683"/>
      <c r="G734" s="130">
        <f>SUM(G713:G733)</f>
        <v>0</v>
      </c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2.75" customHeight="1">
      <c r="A735" s="95">
        <v>41</v>
      </c>
      <c r="B735" s="696" t="s">
        <v>739</v>
      </c>
      <c r="C735" s="682"/>
      <c r="D735" s="682"/>
      <c r="E735" s="682"/>
      <c r="F735" s="682"/>
      <c r="G735" s="683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5.5" customHeight="1">
      <c r="A736" s="128">
        <v>41.1</v>
      </c>
      <c r="B736" s="124">
        <v>97622</v>
      </c>
      <c r="C736" s="124" t="s">
        <v>82</v>
      </c>
      <c r="D736" s="343" t="s">
        <v>740</v>
      </c>
      <c r="E736" s="129">
        <f>0.3*0.15*2.8</f>
        <v>0.126</v>
      </c>
      <c r="F736" s="125"/>
      <c r="G736" s="105">
        <f t="shared" ref="G736:G745" si="56">F736*E736</f>
        <v>0</v>
      </c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5.5" customHeight="1">
      <c r="A737" s="128">
        <v>41.2</v>
      </c>
      <c r="B737" s="97">
        <v>97645</v>
      </c>
      <c r="C737" s="97" t="s">
        <v>60</v>
      </c>
      <c r="D737" s="594" t="s">
        <v>741</v>
      </c>
      <c r="E737" s="129">
        <f>1*0.39</f>
        <v>0.39</v>
      </c>
      <c r="F737" s="125"/>
      <c r="G737" s="105">
        <f t="shared" si="56"/>
        <v>0</v>
      </c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5.5" customHeight="1">
      <c r="A738" s="128">
        <v>41.3</v>
      </c>
      <c r="B738" s="97" t="str">
        <f>'Composição de Custos '!A438</f>
        <v>C038.1</v>
      </c>
      <c r="C738" s="97" t="s">
        <v>60</v>
      </c>
      <c r="D738" s="103" t="str">
        <f>'Composição de Custos '!D438</f>
        <v>FECHAMENTO DE VÃO DE JANELA VENEZIANA EM ALVENARIA  COM PINTURA</v>
      </c>
      <c r="E738" s="129">
        <f>E737</f>
        <v>0.39</v>
      </c>
      <c r="F738" s="125"/>
      <c r="G738" s="105">
        <f t="shared" si="56"/>
        <v>0</v>
      </c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5.5" customHeight="1">
      <c r="A739" s="128">
        <v>41.4</v>
      </c>
      <c r="B739" s="97">
        <v>88489</v>
      </c>
      <c r="C739" s="97" t="s">
        <v>60</v>
      </c>
      <c r="D739" s="103" t="s">
        <v>398</v>
      </c>
      <c r="E739" s="129">
        <v>39</v>
      </c>
      <c r="F739" s="125"/>
      <c r="G739" s="105">
        <f t="shared" si="56"/>
        <v>0</v>
      </c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2.75" customHeight="1">
      <c r="A740" s="128">
        <v>41.5</v>
      </c>
      <c r="B740" s="97" t="str">
        <f>'Composição de Custos '!A889</f>
        <v>C082.1</v>
      </c>
      <c r="C740" s="124" t="s">
        <v>45</v>
      </c>
      <c r="D740" s="134" t="str">
        <f>'Composição de Custos '!D889</f>
        <v xml:space="preserve">PORTA CORTA-FOGO 100X210X4CM - FORNECIMENTO E INSTALAÇÃO </v>
      </c>
      <c r="E740" s="190">
        <v>1</v>
      </c>
      <c r="F740" s="125"/>
      <c r="G740" s="105">
        <f t="shared" si="56"/>
        <v>0</v>
      </c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2.75" customHeight="1">
      <c r="A741" s="128">
        <v>41.6</v>
      </c>
      <c r="B741" s="97">
        <v>39620</v>
      </c>
      <c r="C741" s="124" t="s">
        <v>125</v>
      </c>
      <c r="D741" s="134" t="s">
        <v>491</v>
      </c>
      <c r="E741" s="190">
        <v>1</v>
      </c>
      <c r="F741" s="125"/>
      <c r="G741" s="105">
        <f t="shared" si="56"/>
        <v>0</v>
      </c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2.75" customHeight="1">
      <c r="A742" s="128">
        <v>41.7</v>
      </c>
      <c r="B742" s="97">
        <v>72897</v>
      </c>
      <c r="C742" s="211" t="s">
        <v>82</v>
      </c>
      <c r="D742" s="213" t="s">
        <v>83</v>
      </c>
      <c r="E742" s="216">
        <v>1.5</v>
      </c>
      <c r="F742" s="125"/>
      <c r="G742" s="105">
        <f t="shared" si="56"/>
        <v>0</v>
      </c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2.75" customHeight="1">
      <c r="A743" s="128">
        <v>41.8</v>
      </c>
      <c r="B743" s="133" t="s">
        <v>486</v>
      </c>
      <c r="C743" s="324" t="s">
        <v>125</v>
      </c>
      <c r="D743" s="325" t="s">
        <v>487</v>
      </c>
      <c r="E743" s="345">
        <v>1</v>
      </c>
      <c r="F743" s="125"/>
      <c r="G743" s="136">
        <f t="shared" si="56"/>
        <v>0</v>
      </c>
      <c r="H743" s="79"/>
      <c r="I743" s="79">
        <f>2.1*1.2</f>
        <v>2.52</v>
      </c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2.75" customHeight="1">
      <c r="A744" s="128">
        <v>41.9</v>
      </c>
      <c r="B744" s="133">
        <v>79464</v>
      </c>
      <c r="C744" s="324" t="s">
        <v>60</v>
      </c>
      <c r="D744" s="325" t="s">
        <v>742</v>
      </c>
      <c r="E744" s="345">
        <v>2.65</v>
      </c>
      <c r="F744" s="125"/>
      <c r="G744" s="136">
        <f t="shared" si="56"/>
        <v>0</v>
      </c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2.75" customHeight="1">
      <c r="A745" s="580">
        <v>41.1</v>
      </c>
      <c r="B745" s="133">
        <v>99803</v>
      </c>
      <c r="C745" s="133" t="s">
        <v>82</v>
      </c>
      <c r="D745" s="134" t="s">
        <v>186</v>
      </c>
      <c r="E745" s="135">
        <v>20</v>
      </c>
      <c r="F745" s="125"/>
      <c r="G745" s="136">
        <f t="shared" si="56"/>
        <v>0</v>
      </c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2.75" customHeight="1">
      <c r="A746" s="486"/>
      <c r="B746" s="113"/>
      <c r="C746" s="113"/>
      <c r="D746" s="705" t="s">
        <v>84</v>
      </c>
      <c r="E746" s="682"/>
      <c r="F746" s="683"/>
      <c r="G746" s="130">
        <f>SUM(G736:G745)</f>
        <v>0</v>
      </c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2.75" customHeight="1">
      <c r="A747" s="354"/>
      <c r="B747" s="355"/>
      <c r="C747" s="355"/>
      <c r="D747" s="356" t="s">
        <v>743</v>
      </c>
      <c r="E747" s="357"/>
      <c r="F747" s="358"/>
      <c r="G747" s="358">
        <f>G746+G734+G711+G691+G672+G653+G631+G606+G571+G539+G516+G492+G480+G463+G443+G429</f>
        <v>0</v>
      </c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2.75" customHeight="1">
      <c r="A748" s="359"/>
      <c r="B748" s="360"/>
      <c r="C748" s="360"/>
      <c r="D748" s="361" t="s">
        <v>76</v>
      </c>
      <c r="E748" s="362">
        <f>BDI!D16/100</f>
        <v>0</v>
      </c>
      <c r="F748" s="363"/>
      <c r="G748" s="363">
        <f>E748*G747</f>
        <v>0</v>
      </c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2.75" customHeight="1">
      <c r="A749" s="359"/>
      <c r="B749" s="360"/>
      <c r="C749" s="360"/>
      <c r="D749" s="361" t="s">
        <v>744</v>
      </c>
      <c r="E749" s="364"/>
      <c r="F749" s="363"/>
      <c r="G749" s="363">
        <f>G747+G748</f>
        <v>0</v>
      </c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8" customHeight="1">
      <c r="A750" s="710" t="s">
        <v>745</v>
      </c>
      <c r="B750" s="711"/>
      <c r="C750" s="711"/>
      <c r="D750" s="711"/>
      <c r="E750" s="711"/>
      <c r="F750" s="711"/>
      <c r="G750" s="712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25" customHeight="1">
      <c r="A751" s="301">
        <v>42</v>
      </c>
      <c r="B751" s="720" t="s">
        <v>746</v>
      </c>
      <c r="C751" s="721"/>
      <c r="D751" s="721"/>
      <c r="E751" s="721"/>
      <c r="F751" s="721"/>
      <c r="G751" s="722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" customHeight="1">
      <c r="A752" s="457"/>
      <c r="B752" s="457"/>
      <c r="C752" s="457"/>
      <c r="D752" s="457"/>
      <c r="E752" s="457"/>
      <c r="F752" s="457"/>
      <c r="G752" s="457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9.25" customHeight="1">
      <c r="A753" s="128">
        <v>42.1</v>
      </c>
      <c r="B753" s="124" t="str">
        <f>'Composição de Custos '!A656</f>
        <v>C060</v>
      </c>
      <c r="C753" s="124" t="s">
        <v>60</v>
      </c>
      <c r="D753" s="343" t="str">
        <f>'Composição de Custos '!D656</f>
        <v>INSTALAÇÃO DE PERFIL METALICO 1,50 CM PARA BOCEL CONFORME PROJETO E NORMAS</v>
      </c>
      <c r="E753" s="129">
        <f>10.5*1.5</f>
        <v>15.75</v>
      </c>
      <c r="F753" s="129"/>
      <c r="G753" s="105">
        <f t="shared" ref="G753:G765" si="57">F753*E753</f>
        <v>0</v>
      </c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30" customHeight="1">
      <c r="A754" s="128">
        <v>42.5</v>
      </c>
      <c r="B754" s="124" t="s">
        <v>568</v>
      </c>
      <c r="C754" s="124" t="s">
        <v>60</v>
      </c>
      <c r="D754" s="343" t="str">
        <f>'Composição de Custos '!D663</f>
        <v>INSTALAÇÃO DE COMPLEMENTO DE CHAPA XADREZ PARA PISO NA ESCADA METÁLICA , E=CHAPA XADREZ 3/16" - 4,75MM - PARA  GUIA DE BALIZAMENTO</v>
      </c>
      <c r="E754" s="129">
        <f>9.4*1.1</f>
        <v>10.340000000000002</v>
      </c>
      <c r="F754" s="129"/>
      <c r="G754" s="105">
        <f t="shared" si="57"/>
        <v>0</v>
      </c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30" customHeight="1">
      <c r="A755" s="128">
        <v>42.6</v>
      </c>
      <c r="B755" s="97">
        <v>97631</v>
      </c>
      <c r="C755" s="97" t="s">
        <v>60</v>
      </c>
      <c r="D755" s="103" t="s">
        <v>735</v>
      </c>
      <c r="E755" s="129">
        <v>14</v>
      </c>
      <c r="F755" s="125"/>
      <c r="G755" s="105">
        <f t="shared" si="57"/>
        <v>0</v>
      </c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38.25" customHeight="1">
      <c r="A756" s="128">
        <v>42.7</v>
      </c>
      <c r="B756" s="97">
        <v>94995</v>
      </c>
      <c r="C756" s="97" t="s">
        <v>60</v>
      </c>
      <c r="D756" s="103" t="s">
        <v>81</v>
      </c>
      <c r="E756" s="129">
        <v>5.5</v>
      </c>
      <c r="F756" s="125"/>
      <c r="G756" s="105">
        <f t="shared" si="57"/>
        <v>0</v>
      </c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5.5" customHeight="1">
      <c r="A757" s="128">
        <v>42.8</v>
      </c>
      <c r="B757" s="97" t="s">
        <v>161</v>
      </c>
      <c r="C757" s="97" t="s">
        <v>60</v>
      </c>
      <c r="D757" s="103" t="str">
        <f>'Composição de Custos '!D52</f>
        <v>INSTALAÇÃO DE LADRILHO HIDRAULICO TÁTIIL DIRECIONAL OU ALERTA 25X25 COR AMARELA  (ÁREA EXTERNA), INCLUSIVE EXECUÇÃO DE RASGOS NO PISO EXISTENTE PARA ENCAIXE DAS PEÇAS.</v>
      </c>
      <c r="E757" s="129">
        <v>0.4</v>
      </c>
      <c r="F757" s="129"/>
      <c r="G757" s="105">
        <f t="shared" si="57"/>
        <v>0</v>
      </c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5.5" customHeight="1">
      <c r="A758" s="128">
        <v>42.9</v>
      </c>
      <c r="B758" s="97" t="s">
        <v>571</v>
      </c>
      <c r="C758" s="124" t="s">
        <v>70</v>
      </c>
      <c r="D758" s="103" t="str">
        <f>'Composição de Custos '!D670</f>
        <v>ADEQUAÇÃO DE CORRIMÃO EM AÇO GALVANIZADO Ø=3,8CM, E INSTALAÇÃO DE CORRIMÃO NA SEGUNDA ALTURA INCLUSIVE PINTURA</v>
      </c>
      <c r="E758" s="125">
        <v>15.8</v>
      </c>
      <c r="F758" s="123"/>
      <c r="G758" s="105">
        <f t="shared" si="57"/>
        <v>0</v>
      </c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39" customHeight="1">
      <c r="A759" s="368">
        <v>42.1</v>
      </c>
      <c r="B759" s="595" t="str">
        <f>'Composição de Custos '!A937</f>
        <v>C086</v>
      </c>
      <c r="C759" s="124" t="s">
        <v>70</v>
      </c>
      <c r="D759" s="343" t="str">
        <f>'Composição de Custos '!D937</f>
        <v>GUARDA-CORPO DE AÇO GALVANIZADO DE 1,10M, TRAVESSA SUPERIOR E INFERIOR DE 1.1/2", GRADIL FORMADO POR TUBOS  VERTICAIS DE 1", FIXADO COM ESPAÇAMENTO A CADA 10CM.</v>
      </c>
      <c r="E759" s="439">
        <f>10*0.15</f>
        <v>1.5</v>
      </c>
      <c r="F759" s="439"/>
      <c r="G759" s="105">
        <f t="shared" si="57"/>
        <v>0</v>
      </c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5.5" customHeight="1">
      <c r="A760" s="128">
        <v>42.11</v>
      </c>
      <c r="B760" s="97" t="s">
        <v>147</v>
      </c>
      <c r="C760" s="97" t="s">
        <v>60</v>
      </c>
      <c r="D760" s="193" t="s">
        <v>747</v>
      </c>
      <c r="E760" s="123">
        <f>18.2+44</f>
        <v>62.2</v>
      </c>
      <c r="F760" s="125"/>
      <c r="G760" s="105">
        <f t="shared" si="57"/>
        <v>0</v>
      </c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5.5" customHeight="1">
      <c r="A761" s="128">
        <v>42.12</v>
      </c>
      <c r="B761" s="97" t="s">
        <v>136</v>
      </c>
      <c r="C761" s="593" t="s">
        <v>45</v>
      </c>
      <c r="D761" s="103" t="str">
        <f>'Composição de Custos '!D27</f>
        <v>SINALIZAÇÃO EM BRAILE EM ALUMÍNIO AUTO ADESIVO (100X30) MM COM ESP. 0,25MM - INDICA O PAVIMENTO</v>
      </c>
      <c r="E761" s="125">
        <v>4</v>
      </c>
      <c r="F761" s="105"/>
      <c r="G761" s="105">
        <f t="shared" si="57"/>
        <v>0</v>
      </c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5.5" customHeight="1">
      <c r="A762" s="128">
        <v>42.13</v>
      </c>
      <c r="B762" s="97" t="s">
        <v>141</v>
      </c>
      <c r="C762" s="124" t="s">
        <v>45</v>
      </c>
      <c r="D762" s="103" t="str">
        <f>'Composição de Custos '!D33</f>
        <v>INSTALAÇÃO DE FAIXA DE SINALIZAÇÃO VISUAL FOTOLUMINESCENTE DE DEGRAUS COMP. 7 CM X LARG. 3.5CM.</v>
      </c>
      <c r="E762" s="125">
        <v>40</v>
      </c>
      <c r="F762" s="125"/>
      <c r="G762" s="105">
        <f t="shared" si="57"/>
        <v>0</v>
      </c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2.75" customHeight="1">
      <c r="A763" s="128">
        <v>42.14</v>
      </c>
      <c r="B763" s="97">
        <v>72897</v>
      </c>
      <c r="C763" s="211" t="s">
        <v>82</v>
      </c>
      <c r="D763" s="213" t="s">
        <v>83</v>
      </c>
      <c r="E763" s="216">
        <v>4</v>
      </c>
      <c r="F763" s="125"/>
      <c r="G763" s="105">
        <f t="shared" si="57"/>
        <v>0</v>
      </c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2.75" customHeight="1">
      <c r="A764" s="132">
        <v>42.15</v>
      </c>
      <c r="B764" s="133" t="s">
        <v>748</v>
      </c>
      <c r="C764" s="324" t="s">
        <v>45</v>
      </c>
      <c r="D764" s="325" t="s">
        <v>749</v>
      </c>
      <c r="E764" s="345">
        <v>1</v>
      </c>
      <c r="F764" s="345"/>
      <c r="G764" s="136">
        <f t="shared" si="57"/>
        <v>0</v>
      </c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2.75" customHeight="1">
      <c r="A765" s="132">
        <v>42.19</v>
      </c>
      <c r="B765" s="133">
        <v>99803</v>
      </c>
      <c r="C765" s="133" t="s">
        <v>82</v>
      </c>
      <c r="D765" s="134" t="s">
        <v>186</v>
      </c>
      <c r="E765" s="135">
        <v>20</v>
      </c>
      <c r="F765" s="135"/>
      <c r="G765" s="136">
        <f t="shared" si="57"/>
        <v>0</v>
      </c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2.75" customHeight="1">
      <c r="A766" s="454"/>
      <c r="B766" s="455"/>
      <c r="C766" s="185"/>
      <c r="D766" s="702" t="s">
        <v>84</v>
      </c>
      <c r="E766" s="703"/>
      <c r="F766" s="704"/>
      <c r="G766" s="230">
        <f>SUM(G753:G765)</f>
        <v>0</v>
      </c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2.75" customHeight="1">
      <c r="A767" s="95">
        <v>43</v>
      </c>
      <c r="B767" s="696" t="s">
        <v>750</v>
      </c>
      <c r="C767" s="682"/>
      <c r="D767" s="682"/>
      <c r="E767" s="682"/>
      <c r="F767" s="682"/>
      <c r="G767" s="683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2.75" customHeight="1">
      <c r="A768" s="596">
        <v>43.1</v>
      </c>
      <c r="B768" s="426" t="s">
        <v>751</v>
      </c>
      <c r="C768" s="597" t="s">
        <v>60</v>
      </c>
      <c r="D768" s="427" t="s">
        <v>752</v>
      </c>
      <c r="E768" s="190">
        <v>20</v>
      </c>
      <c r="F768" s="190"/>
      <c r="G768" s="598">
        <f t="shared" ref="G768:G776" si="58">F768*E768</f>
        <v>0</v>
      </c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41.25" customHeight="1">
      <c r="A769" s="599">
        <v>43.2</v>
      </c>
      <c r="B769" s="124">
        <v>90877</v>
      </c>
      <c r="C769" s="113" t="s">
        <v>70</v>
      </c>
      <c r="D769" s="343" t="s">
        <v>753</v>
      </c>
      <c r="E769" s="190">
        <f>25*9</f>
        <v>225</v>
      </c>
      <c r="F769" s="190"/>
      <c r="G769" s="190">
        <f t="shared" si="58"/>
        <v>0</v>
      </c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7" customHeight="1">
      <c r="A770" s="599">
        <v>43.3</v>
      </c>
      <c r="B770" s="124">
        <v>95576</v>
      </c>
      <c r="C770" s="113" t="s">
        <v>121</v>
      </c>
      <c r="D770" s="343" t="s">
        <v>366</v>
      </c>
      <c r="E770" s="190">
        <f>(((0.25*0.25)/4)*14)*25*80</f>
        <v>437.5</v>
      </c>
      <c r="F770" s="190"/>
      <c r="G770" s="190">
        <f t="shared" si="58"/>
        <v>0</v>
      </c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5.5">
      <c r="A771" s="600">
        <v>43.4</v>
      </c>
      <c r="B771" s="124">
        <v>96536</v>
      </c>
      <c r="C771" s="601" t="s">
        <v>60</v>
      </c>
      <c r="D771" s="343" t="s">
        <v>376</v>
      </c>
      <c r="E771" s="190">
        <v>13.8</v>
      </c>
      <c r="F771" s="190"/>
      <c r="G771" s="190">
        <f t="shared" si="58"/>
        <v>0</v>
      </c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5.5">
      <c r="A772" s="600">
        <v>43.5</v>
      </c>
      <c r="B772" s="124">
        <v>96534</v>
      </c>
      <c r="C772" s="601" t="s">
        <v>60</v>
      </c>
      <c r="D772" s="343" t="s">
        <v>754</v>
      </c>
      <c r="E772" s="190">
        <f>1.25*13</f>
        <v>16.25</v>
      </c>
      <c r="F772" s="190"/>
      <c r="G772" s="190">
        <f t="shared" si="58"/>
        <v>0</v>
      </c>
      <c r="H772" s="79"/>
      <c r="I772" s="79" t="s">
        <v>755</v>
      </c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5.5">
      <c r="A773" s="600">
        <v>43.6</v>
      </c>
      <c r="B773" s="124">
        <v>92791</v>
      </c>
      <c r="C773" s="601" t="s">
        <v>121</v>
      </c>
      <c r="D773" s="343" t="s">
        <v>756</v>
      </c>
      <c r="E773" s="190">
        <v>30</v>
      </c>
      <c r="F773" s="190"/>
      <c r="G773" s="190">
        <f t="shared" si="58"/>
        <v>0</v>
      </c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5.5">
      <c r="A774" s="600">
        <v>43.7</v>
      </c>
      <c r="B774" s="124">
        <v>92792</v>
      </c>
      <c r="C774" s="601" t="s">
        <v>121</v>
      </c>
      <c r="D774" s="343" t="s">
        <v>532</v>
      </c>
      <c r="E774" s="190">
        <v>40</v>
      </c>
      <c r="F774" s="190"/>
      <c r="G774" s="190">
        <f t="shared" si="58"/>
        <v>0</v>
      </c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9.25" customHeight="1">
      <c r="A775" s="600">
        <v>43.8</v>
      </c>
      <c r="B775" s="124">
        <v>92793</v>
      </c>
      <c r="C775" s="601" t="s">
        <v>121</v>
      </c>
      <c r="D775" s="343" t="s">
        <v>533</v>
      </c>
      <c r="E775" s="190">
        <v>60</v>
      </c>
      <c r="F775" s="190"/>
      <c r="G775" s="190">
        <f t="shared" si="58"/>
        <v>0</v>
      </c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63.75">
      <c r="A776" s="600">
        <v>43.9</v>
      </c>
      <c r="B776" s="124" t="s">
        <v>757</v>
      </c>
      <c r="C776" s="601" t="s">
        <v>125</v>
      </c>
      <c r="D776" s="343" t="s">
        <v>758</v>
      </c>
      <c r="E776" s="190">
        <v>1</v>
      </c>
      <c r="F776" s="190"/>
      <c r="G776" s="190">
        <f t="shared" si="58"/>
        <v>0</v>
      </c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38.25">
      <c r="A777" s="602">
        <v>43.1</v>
      </c>
      <c r="B777" s="97" t="s">
        <v>105</v>
      </c>
      <c r="C777" s="97" t="s">
        <v>70</v>
      </c>
      <c r="D777" s="103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777" s="125">
        <f>2*(3.45+1.97+3.45+0.6)</f>
        <v>18.940000000000001</v>
      </c>
      <c r="F777" s="125"/>
      <c r="G777" s="190">
        <f t="shared" ref="G777:G778" si="59">E777*F777</f>
        <v>0</v>
      </c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7.75" customHeight="1">
      <c r="A778" s="600">
        <v>43.11</v>
      </c>
      <c r="B778" s="97" t="str">
        <f>'Composição de Custos '!A947</f>
        <v>C086.1</v>
      </c>
      <c r="C778" s="97" t="s">
        <v>60</v>
      </c>
      <c r="D778" s="122" t="str">
        <f>'Composição de Custos '!D947</f>
        <v>GUARDA-CORPO DE AÇO GALVANIZADO DE 1,30M, TRAVESSA SUPERIOR DE 1.1/2", GRADIL FORMADO POR TUBOS  VERTICAIS DE 1", FIXADO COM ESPAÇAMENTO A CADA 11CM.</v>
      </c>
      <c r="E778" s="123">
        <v>15</v>
      </c>
      <c r="F778" s="123"/>
      <c r="G778" s="105">
        <f t="shared" si="59"/>
        <v>0</v>
      </c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8" customHeight="1">
      <c r="A779" s="602">
        <v>43.12</v>
      </c>
      <c r="B779" s="254" t="s">
        <v>147</v>
      </c>
      <c r="C779" s="254" t="s">
        <v>60</v>
      </c>
      <c r="D779" s="74" t="s">
        <v>148</v>
      </c>
      <c r="E779" s="216">
        <f>57.37+30</f>
        <v>87.37</v>
      </c>
      <c r="F779" s="216"/>
      <c r="G779" s="256">
        <f>F779*E779</f>
        <v>0</v>
      </c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2.75" customHeight="1">
      <c r="A780" s="600">
        <v>43.13</v>
      </c>
      <c r="B780" s="97">
        <v>94995</v>
      </c>
      <c r="C780" s="97" t="s">
        <v>60</v>
      </c>
      <c r="D780" s="343" t="s">
        <v>81</v>
      </c>
      <c r="E780" s="123">
        <v>11</v>
      </c>
      <c r="F780" s="123"/>
      <c r="G780" s="105">
        <f t="shared" ref="G780:G781" si="60">E780*F780</f>
        <v>0</v>
      </c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2.75" customHeight="1">
      <c r="A781" s="602">
        <v>43.14</v>
      </c>
      <c r="B781" s="97" t="s">
        <v>161</v>
      </c>
      <c r="C781" s="97" t="s">
        <v>60</v>
      </c>
      <c r="D781" s="343" t="str">
        <f>'Composição de Custos '!D52</f>
        <v>INSTALAÇÃO DE LADRILHO HIDRAULICO TÁTIIL DIRECIONAL OU ALERTA 25X25 COR AMARELA  (ÁREA EXTERNA), INCLUSIVE EXECUÇÃO DE RASGOS NO PISO EXISTENTE PARA ENCAIXE DAS PEÇAS.</v>
      </c>
      <c r="E781" s="123">
        <f>9*0.25*0.25</f>
        <v>0.5625</v>
      </c>
      <c r="F781" s="123"/>
      <c r="G781" s="105">
        <f t="shared" si="60"/>
        <v>0</v>
      </c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2.75" customHeight="1">
      <c r="A782" s="603"/>
      <c r="B782" s="584"/>
      <c r="C782" s="581"/>
      <c r="D782" s="716" t="s">
        <v>84</v>
      </c>
      <c r="E782" s="717"/>
      <c r="F782" s="718"/>
      <c r="G782" s="582">
        <f>SUM(G768:G781)</f>
        <v>0</v>
      </c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2.75" hidden="1" customHeight="1">
      <c r="A783" s="604"/>
      <c r="B783" s="601"/>
      <c r="C783" s="605"/>
      <c r="D783" s="606"/>
      <c r="E783" s="606"/>
      <c r="F783" s="606"/>
      <c r="G783" s="607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25" customHeight="1">
      <c r="A784" s="95">
        <v>44</v>
      </c>
      <c r="B784" s="696" t="s">
        <v>759</v>
      </c>
      <c r="C784" s="682"/>
      <c r="D784" s="682"/>
      <c r="E784" s="682"/>
      <c r="F784" s="682"/>
      <c r="G784" s="683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43.5" customHeight="1">
      <c r="A785" s="128">
        <v>44.2</v>
      </c>
      <c r="B785" s="124" t="str">
        <f>'Composição de Custos '!A656</f>
        <v>C060</v>
      </c>
      <c r="C785" s="124" t="s">
        <v>60</v>
      </c>
      <c r="D785" s="343" t="str">
        <f>'Composição de Custos '!D656</f>
        <v>INSTALAÇÃO DE PERFIL METALICO 1,50 CM PARA BOCEL CONFORME PROJETO E NORMAS</v>
      </c>
      <c r="E785" s="129">
        <f>E753</f>
        <v>15.75</v>
      </c>
      <c r="F785" s="129"/>
      <c r="G785" s="105">
        <f t="shared" ref="G785:G799" si="61">F785*E785</f>
        <v>0</v>
      </c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42" customHeight="1">
      <c r="A786" s="128">
        <v>44.3</v>
      </c>
      <c r="B786" s="124" t="str">
        <f>'Composição de Custos '!A663</f>
        <v>C061</v>
      </c>
      <c r="C786" s="124" t="s">
        <v>60</v>
      </c>
      <c r="D786" s="343" t="s">
        <v>760</v>
      </c>
      <c r="E786" s="129">
        <f>(18*((0.2+0.3)*1.45))</f>
        <v>13.049999999999999</v>
      </c>
      <c r="F786" s="129"/>
      <c r="G786" s="105">
        <f t="shared" si="61"/>
        <v>0</v>
      </c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30" customHeight="1">
      <c r="A787" s="128">
        <v>44.4</v>
      </c>
      <c r="B787" s="124" t="s">
        <v>761</v>
      </c>
      <c r="C787" s="124" t="s">
        <v>60</v>
      </c>
      <c r="D787" s="343" t="s">
        <v>762</v>
      </c>
      <c r="E787" s="129">
        <f>(2.63*1.51+1.51*1.65)*1.05</f>
        <v>6.7859400000000001</v>
      </c>
      <c r="F787" s="129"/>
      <c r="G787" s="105">
        <f t="shared" si="61"/>
        <v>0</v>
      </c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30" customHeight="1">
      <c r="A788" s="128">
        <v>44.5</v>
      </c>
      <c r="B788" s="124" t="s">
        <v>568</v>
      </c>
      <c r="C788" s="124" t="s">
        <v>60</v>
      </c>
      <c r="D788" s="343" t="s">
        <v>763</v>
      </c>
      <c r="E788" s="129">
        <v>10.340000000000002</v>
      </c>
      <c r="F788" s="129"/>
      <c r="G788" s="105">
        <f t="shared" si="61"/>
        <v>0</v>
      </c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6.25" customHeight="1">
      <c r="A789" s="128">
        <v>44.6</v>
      </c>
      <c r="B789" s="97">
        <v>97631</v>
      </c>
      <c r="C789" s="97" t="s">
        <v>60</v>
      </c>
      <c r="D789" s="103" t="s">
        <v>735</v>
      </c>
      <c r="E789" s="129">
        <v>14</v>
      </c>
      <c r="F789" s="125"/>
      <c r="G789" s="105">
        <f t="shared" si="61"/>
        <v>0</v>
      </c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38.25">
      <c r="A790" s="128">
        <v>44.7</v>
      </c>
      <c r="B790" s="97">
        <v>94995</v>
      </c>
      <c r="C790" s="97" t="s">
        <v>60</v>
      </c>
      <c r="D790" s="103" t="s">
        <v>81</v>
      </c>
      <c r="E790" s="129">
        <v>5.5</v>
      </c>
      <c r="F790" s="125"/>
      <c r="G790" s="105">
        <f t="shared" si="61"/>
        <v>0</v>
      </c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5.5">
      <c r="A791" s="128">
        <v>44.8</v>
      </c>
      <c r="B791" s="97" t="s">
        <v>161</v>
      </c>
      <c r="C791" s="97" t="s">
        <v>60</v>
      </c>
      <c r="D791" s="103" t="s">
        <v>764</v>
      </c>
      <c r="E791" s="129">
        <v>0.4</v>
      </c>
      <c r="F791" s="129"/>
      <c r="G791" s="105">
        <f t="shared" si="61"/>
        <v>0</v>
      </c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5.5">
      <c r="A792" s="128">
        <v>44.9</v>
      </c>
      <c r="B792" s="97" t="s">
        <v>571</v>
      </c>
      <c r="C792" s="124" t="s">
        <v>70</v>
      </c>
      <c r="D792" s="103" t="s">
        <v>572</v>
      </c>
      <c r="E792" s="125">
        <v>15.8</v>
      </c>
      <c r="F792" s="123"/>
      <c r="G792" s="105">
        <f t="shared" si="61"/>
        <v>0</v>
      </c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4.75" customHeight="1">
      <c r="A793" s="368">
        <v>44.1</v>
      </c>
      <c r="B793" s="595" t="str">
        <f>'Composição de Custos '!A937</f>
        <v>C086</v>
      </c>
      <c r="C793" s="124" t="s">
        <v>70</v>
      </c>
      <c r="D793" s="343" t="str">
        <f>'Composição de Custos '!D937</f>
        <v>GUARDA-CORPO DE AÇO GALVANIZADO DE 1,10M, TRAVESSA SUPERIOR E INFERIOR DE 1.1/2", GRADIL FORMADO POR TUBOS  VERTICAIS DE 1", FIXADO COM ESPAÇAMENTO A CADA 10CM.</v>
      </c>
      <c r="E793" s="439">
        <v>1.5</v>
      </c>
      <c r="F793" s="608"/>
      <c r="G793" s="105">
        <f t="shared" si="61"/>
        <v>0</v>
      </c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5.5">
      <c r="A794" s="128">
        <v>44.11</v>
      </c>
      <c r="B794" s="97" t="s">
        <v>147</v>
      </c>
      <c r="C794" s="97" t="s">
        <v>60</v>
      </c>
      <c r="D794" s="193" t="s">
        <v>747</v>
      </c>
      <c r="E794" s="123">
        <v>62.2</v>
      </c>
      <c r="F794" s="125"/>
      <c r="G794" s="105">
        <f t="shared" si="61"/>
        <v>0</v>
      </c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5.5">
      <c r="A795" s="128">
        <v>44.12</v>
      </c>
      <c r="B795" s="97" t="s">
        <v>136</v>
      </c>
      <c r="C795" s="593" t="s">
        <v>45</v>
      </c>
      <c r="D795" s="103" t="s">
        <v>138</v>
      </c>
      <c r="E795" s="125">
        <v>4</v>
      </c>
      <c r="F795" s="105"/>
      <c r="G795" s="105">
        <f t="shared" si="61"/>
        <v>0</v>
      </c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5.5">
      <c r="A796" s="128">
        <v>44.13</v>
      </c>
      <c r="B796" s="97" t="s">
        <v>141</v>
      </c>
      <c r="C796" s="124" t="s">
        <v>45</v>
      </c>
      <c r="D796" s="103" t="s">
        <v>765</v>
      </c>
      <c r="E796" s="125">
        <v>40</v>
      </c>
      <c r="F796" s="125"/>
      <c r="G796" s="105">
        <f t="shared" si="61"/>
        <v>0</v>
      </c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" customHeight="1">
      <c r="A797" s="128">
        <v>44.14</v>
      </c>
      <c r="B797" s="97">
        <v>72897</v>
      </c>
      <c r="C797" s="211" t="s">
        <v>82</v>
      </c>
      <c r="D797" s="213" t="s">
        <v>83</v>
      </c>
      <c r="E797" s="216">
        <v>4</v>
      </c>
      <c r="F797" s="125"/>
      <c r="G797" s="105">
        <f t="shared" si="61"/>
        <v>0</v>
      </c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5.5">
      <c r="A798" s="132">
        <v>44.15</v>
      </c>
      <c r="B798" s="133" t="s">
        <v>748</v>
      </c>
      <c r="C798" s="324" t="s">
        <v>45</v>
      </c>
      <c r="D798" s="325" t="s">
        <v>749</v>
      </c>
      <c r="E798" s="345">
        <v>1</v>
      </c>
      <c r="F798" s="345"/>
      <c r="G798" s="136">
        <f t="shared" si="61"/>
        <v>0</v>
      </c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" customHeight="1">
      <c r="A799" s="132">
        <v>44.19</v>
      </c>
      <c r="B799" s="133">
        <v>99803</v>
      </c>
      <c r="C799" s="133" t="s">
        <v>82</v>
      </c>
      <c r="D799" s="134" t="s">
        <v>186</v>
      </c>
      <c r="E799" s="135">
        <v>20</v>
      </c>
      <c r="F799" s="135"/>
      <c r="G799" s="136">
        <f t="shared" si="61"/>
        <v>0</v>
      </c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" customHeight="1">
      <c r="A800" s="454"/>
      <c r="B800" s="455"/>
      <c r="C800" s="185"/>
      <c r="D800" s="702" t="s">
        <v>84</v>
      </c>
      <c r="E800" s="703"/>
      <c r="F800" s="704"/>
      <c r="G800" s="230">
        <f>SUM(G785:G799)</f>
        <v>0</v>
      </c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" customHeight="1">
      <c r="A801" s="609">
        <v>45</v>
      </c>
      <c r="B801" s="696" t="s">
        <v>766</v>
      </c>
      <c r="C801" s="682"/>
      <c r="D801" s="682"/>
      <c r="E801" s="682"/>
      <c r="F801" s="682"/>
      <c r="G801" s="683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>
      <c r="A802" s="132">
        <v>45.2</v>
      </c>
      <c r="B802" s="133" t="s">
        <v>751</v>
      </c>
      <c r="C802" s="133" t="s">
        <v>60</v>
      </c>
      <c r="D802" s="134" t="s">
        <v>752</v>
      </c>
      <c r="E802" s="135">
        <v>20</v>
      </c>
      <c r="F802" s="135"/>
      <c r="G802" s="136">
        <f t="shared" ref="G802:G815" si="62">F802*E802</f>
        <v>0</v>
      </c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38.25">
      <c r="A803" s="132">
        <v>45.3</v>
      </c>
      <c r="B803" s="133">
        <v>90877</v>
      </c>
      <c r="C803" s="133" t="s">
        <v>70</v>
      </c>
      <c r="D803" s="134" t="s">
        <v>753</v>
      </c>
      <c r="E803" s="135">
        <v>225</v>
      </c>
      <c r="F803" s="135"/>
      <c r="G803" s="136">
        <f t="shared" si="62"/>
        <v>0</v>
      </c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5.5">
      <c r="A804" s="132">
        <v>45.4</v>
      </c>
      <c r="B804" s="133">
        <v>95576</v>
      </c>
      <c r="C804" s="133" t="s">
        <v>121</v>
      </c>
      <c r="D804" s="134" t="s">
        <v>366</v>
      </c>
      <c r="E804" s="135">
        <v>437.5</v>
      </c>
      <c r="F804" s="135"/>
      <c r="G804" s="136">
        <f t="shared" si="62"/>
        <v>0</v>
      </c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5.5">
      <c r="A805" s="132">
        <v>45.5</v>
      </c>
      <c r="B805" s="133">
        <v>96536</v>
      </c>
      <c r="C805" s="133" t="s">
        <v>60</v>
      </c>
      <c r="D805" s="134" t="s">
        <v>767</v>
      </c>
      <c r="E805" s="135">
        <v>13.8</v>
      </c>
      <c r="F805" s="135"/>
      <c r="G805" s="136">
        <f t="shared" si="62"/>
        <v>0</v>
      </c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5.5">
      <c r="A806" s="132">
        <v>45.6</v>
      </c>
      <c r="B806" s="133">
        <v>96534</v>
      </c>
      <c r="C806" s="133" t="s">
        <v>60</v>
      </c>
      <c r="D806" s="134" t="s">
        <v>754</v>
      </c>
      <c r="E806" s="135">
        <v>16.25</v>
      </c>
      <c r="F806" s="135"/>
      <c r="G806" s="136">
        <f t="shared" si="62"/>
        <v>0</v>
      </c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5.5">
      <c r="A807" s="132">
        <v>45.7</v>
      </c>
      <c r="B807" s="133">
        <v>92791</v>
      </c>
      <c r="C807" s="133" t="s">
        <v>121</v>
      </c>
      <c r="D807" s="134" t="s">
        <v>756</v>
      </c>
      <c r="E807" s="135">
        <v>30</v>
      </c>
      <c r="F807" s="135"/>
      <c r="G807" s="136">
        <f t="shared" si="62"/>
        <v>0</v>
      </c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5.5">
      <c r="A808" s="132">
        <v>45.8</v>
      </c>
      <c r="B808" s="133">
        <v>92792</v>
      </c>
      <c r="C808" s="133" t="s">
        <v>121</v>
      </c>
      <c r="D808" s="134" t="s">
        <v>532</v>
      </c>
      <c r="E808" s="135">
        <v>40</v>
      </c>
      <c r="F808" s="135"/>
      <c r="G808" s="136">
        <f t="shared" si="62"/>
        <v>0</v>
      </c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5.5">
      <c r="A809" s="132">
        <v>45.9</v>
      </c>
      <c r="B809" s="133">
        <v>92793</v>
      </c>
      <c r="C809" s="133" t="s">
        <v>121</v>
      </c>
      <c r="D809" s="134" t="s">
        <v>533</v>
      </c>
      <c r="E809" s="135">
        <v>60</v>
      </c>
      <c r="F809" s="135"/>
      <c r="G809" s="136">
        <f t="shared" si="62"/>
        <v>0</v>
      </c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69.75" customHeight="1">
      <c r="A810" s="610">
        <v>45.1</v>
      </c>
      <c r="B810" s="133" t="s">
        <v>757</v>
      </c>
      <c r="C810" s="133" t="s">
        <v>125</v>
      </c>
      <c r="D810" s="134" t="str">
        <f>'Composição de Custos '!D639</f>
        <v>FABRICAÇÃO E MONTAGEM DE ESCADA METÁLICA COMPOSTA DE  20 DEGRAUS, 1 PATAMAR COM DIMENSÕES DE 2,25 X 2,25M E 1 PATAMAR DE 2,25 X 2,80M, DEGRAUS E PATAMAR  EM CHAPA METÁLICA XADREZ  ANTI-DERRAPANTE, E=3/16" - 4,75MM, LARGURA DE 2,25M, ALTURA PISO A PISO 3,25M, COMPRIMENTO ENTRE 10 A 13M, PILARES, VIGAS  E MESO ESTRUTURA EM PERFIS METÁLICOS RIGIDOS.</v>
      </c>
      <c r="E810" s="135">
        <v>1</v>
      </c>
      <c r="F810" s="135"/>
      <c r="G810" s="136">
        <f t="shared" si="62"/>
        <v>0</v>
      </c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44.25" customHeight="1">
      <c r="A811" s="132">
        <v>45.11</v>
      </c>
      <c r="B811" s="133" t="s">
        <v>105</v>
      </c>
      <c r="C811" s="133" t="s">
        <v>70</v>
      </c>
      <c r="D811" s="134" t="s">
        <v>107</v>
      </c>
      <c r="E811" s="135">
        <f>(8.96*1.02)*2</f>
        <v>18.278400000000001</v>
      </c>
      <c r="F811" s="135"/>
      <c r="G811" s="136">
        <f t="shared" si="62"/>
        <v>0</v>
      </c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39" customHeight="1">
      <c r="A812" s="610">
        <v>45.12</v>
      </c>
      <c r="B812" s="133" t="str">
        <f>'Composição de Custos '!A947</f>
        <v>C086.1</v>
      </c>
      <c r="C812" s="133" t="s">
        <v>60</v>
      </c>
      <c r="D812" s="134" t="str">
        <f>'Composição de Custos '!D947</f>
        <v>GUARDA-CORPO DE AÇO GALVANIZADO DE 1,30M, TRAVESSA SUPERIOR DE 1.1/2", GRADIL FORMADO POR TUBOS  VERTICAIS DE 1", FIXADO COM ESPAÇAMENTO A CADA 11CM.</v>
      </c>
      <c r="E812" s="135">
        <v>18.5</v>
      </c>
      <c r="F812" s="135"/>
      <c r="G812" s="136">
        <f t="shared" si="62"/>
        <v>0</v>
      </c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" customHeight="1">
      <c r="A813" s="132">
        <v>45.13</v>
      </c>
      <c r="B813" s="133" t="s">
        <v>147</v>
      </c>
      <c r="C813" s="133" t="s">
        <v>60</v>
      </c>
      <c r="D813" s="134" t="s">
        <v>148</v>
      </c>
      <c r="E813" s="135">
        <v>87.37</v>
      </c>
      <c r="F813" s="135"/>
      <c r="G813" s="136">
        <f t="shared" si="62"/>
        <v>0</v>
      </c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" customHeight="1">
      <c r="A814" s="610">
        <v>45.14</v>
      </c>
      <c r="B814" s="133">
        <v>94995</v>
      </c>
      <c r="C814" s="133" t="s">
        <v>60</v>
      </c>
      <c r="D814" s="134" t="s">
        <v>81</v>
      </c>
      <c r="E814" s="135">
        <v>11</v>
      </c>
      <c r="F814" s="135"/>
      <c r="G814" s="136">
        <f t="shared" si="62"/>
        <v>0</v>
      </c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" customHeight="1">
      <c r="A815" s="132">
        <v>45.15</v>
      </c>
      <c r="B815" s="133" t="s">
        <v>161</v>
      </c>
      <c r="C815" s="133" t="s">
        <v>60</v>
      </c>
      <c r="D815" s="134" t="s">
        <v>764</v>
      </c>
      <c r="E815" s="135">
        <v>0.5625</v>
      </c>
      <c r="F815" s="135"/>
      <c r="G815" s="136">
        <f t="shared" si="62"/>
        <v>0</v>
      </c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" customHeight="1">
      <c r="A816" s="486"/>
      <c r="B816" s="113"/>
      <c r="C816" s="113"/>
      <c r="D816" s="705" t="s">
        <v>84</v>
      </c>
      <c r="E816" s="682"/>
      <c r="F816" s="683"/>
      <c r="G816" s="130">
        <f>SUM(G802:G815)</f>
        <v>0</v>
      </c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2.75" customHeight="1">
      <c r="A817" s="95">
        <v>46</v>
      </c>
      <c r="B817" s="696" t="s">
        <v>768</v>
      </c>
      <c r="C817" s="682"/>
      <c r="D817" s="682"/>
      <c r="E817" s="682"/>
      <c r="F817" s="682"/>
      <c r="G817" s="683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5.5" customHeight="1">
      <c r="A818" s="128">
        <v>46.1</v>
      </c>
      <c r="B818" s="124">
        <v>97629</v>
      </c>
      <c r="C818" s="124" t="s">
        <v>82</v>
      </c>
      <c r="D818" s="343" t="s">
        <v>355</v>
      </c>
      <c r="E818" s="125">
        <v>3.15</v>
      </c>
      <c r="F818" s="125"/>
      <c r="G818" s="611">
        <f t="shared" ref="G818:G827" si="63">F818*E818</f>
        <v>0</v>
      </c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51" customHeight="1">
      <c r="A819" s="128">
        <v>46.2</v>
      </c>
      <c r="B819" s="612">
        <v>92537</v>
      </c>
      <c r="C819" s="124" t="s">
        <v>60</v>
      </c>
      <c r="D819" s="343" t="s">
        <v>441</v>
      </c>
      <c r="E819" s="125">
        <v>8.6999999999999993</v>
      </c>
      <c r="F819" s="125"/>
      <c r="G819" s="611">
        <f t="shared" si="63"/>
        <v>0</v>
      </c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48" customHeight="1">
      <c r="A820" s="128">
        <v>46.3</v>
      </c>
      <c r="B820" s="97">
        <v>87630</v>
      </c>
      <c r="C820" s="97" t="s">
        <v>60</v>
      </c>
      <c r="D820" s="103" t="s">
        <v>575</v>
      </c>
      <c r="E820" s="125">
        <v>33</v>
      </c>
      <c r="F820" s="125"/>
      <c r="G820" s="611">
        <f t="shared" si="63"/>
        <v>0</v>
      </c>
      <c r="H820" s="79">
        <f>8.816+12.528+12.675</f>
        <v>34.019000000000005</v>
      </c>
      <c r="I820" s="79">
        <f>35*H820</f>
        <v>1190.6650000000002</v>
      </c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5.5" customHeight="1">
      <c r="A821" s="128">
        <v>46.4</v>
      </c>
      <c r="B821" s="97">
        <v>87263</v>
      </c>
      <c r="C821" s="97" t="s">
        <v>60</v>
      </c>
      <c r="D821" s="103" t="s">
        <v>576</v>
      </c>
      <c r="E821" s="125">
        <v>27</v>
      </c>
      <c r="F821" s="125"/>
      <c r="G821" s="105">
        <f t="shared" si="63"/>
        <v>0</v>
      </c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2.75" customHeight="1">
      <c r="A822" s="128">
        <v>46.5</v>
      </c>
      <c r="B822" s="97" t="s">
        <v>497</v>
      </c>
      <c r="C822" s="97" t="s">
        <v>70</v>
      </c>
      <c r="D822" s="122" t="str">
        <f>'Composição de Custos '!D546</f>
        <v>ADEQUAÇÃO TUBOS DE AÇO INOX  D= 3,8 EM CORRIMAO E GUARDA-CORPO</v>
      </c>
      <c r="E822" s="125">
        <v>22</v>
      </c>
      <c r="F822" s="125"/>
      <c r="G822" s="105">
        <f t="shared" si="63"/>
        <v>0</v>
      </c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39.75" customHeight="1">
      <c r="A823" s="128">
        <v>46.6</v>
      </c>
      <c r="B823" s="97" t="s">
        <v>151</v>
      </c>
      <c r="C823" s="124" t="s">
        <v>60</v>
      </c>
      <c r="D823" s="153" t="str">
        <f>'Composição de Custos '!D186</f>
        <v>EXECUÇÃO DE GUIA DE BALIZAMENTO EM CONCRETO MOLDADO IN LOCO,  ARMADURA 6.3MM, LARGURA 15 CM E ALTURA 5 CM., INCLUSIVE PINTURA COM TINTA ACRÍLICA PARA PISO CIMENTADO 2 DEMÃOS.</v>
      </c>
      <c r="E823" s="125">
        <v>0.9</v>
      </c>
      <c r="F823" s="125"/>
      <c r="G823" s="105">
        <f t="shared" si="63"/>
        <v>0</v>
      </c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5.5" customHeight="1">
      <c r="A824" s="128">
        <v>46.7</v>
      </c>
      <c r="B824" s="97" t="s">
        <v>136</v>
      </c>
      <c r="C824" s="124" t="s">
        <v>45</v>
      </c>
      <c r="D824" s="103" t="str">
        <f>'Composição de Custos '!D27</f>
        <v>SINALIZAÇÃO EM BRAILE EM ALUMÍNIO AUTO ADESIVO (100X30) MM COM ESP. 0,25MM - INDICA O PAVIMENTO</v>
      </c>
      <c r="E824" s="125">
        <v>4</v>
      </c>
      <c r="F824" s="105"/>
      <c r="G824" s="105">
        <f t="shared" si="63"/>
        <v>0</v>
      </c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6.5" customHeight="1">
      <c r="A825" s="128">
        <v>46.8</v>
      </c>
      <c r="B825" s="97" t="s">
        <v>247</v>
      </c>
      <c r="C825" s="124" t="s">
        <v>45</v>
      </c>
      <c r="D825" s="153" t="str">
        <f>'Composição de Custos '!D145</f>
        <v>INSTALAÇÃO DE FAIXA ANTIDERRAPANTE DE DEGRAUS (ROLO COM 5M)</v>
      </c>
      <c r="E825" s="125">
        <v>8</v>
      </c>
      <c r="F825" s="216"/>
      <c r="G825" s="105">
        <f t="shared" si="63"/>
        <v>0</v>
      </c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8.5" customHeight="1">
      <c r="A826" s="128">
        <v>46.9</v>
      </c>
      <c r="B826" s="97" t="s">
        <v>141</v>
      </c>
      <c r="C826" s="124" t="s">
        <v>45</v>
      </c>
      <c r="D826" s="103" t="str">
        <f>'Composição de Custos '!D33</f>
        <v>INSTALAÇÃO DE FAIXA DE SINALIZAÇÃO VISUAL FOTOLUMINESCENTE DE DEGRAUS COMP. 7 CM X LARG. 3.5CM.</v>
      </c>
      <c r="E826" s="125">
        <v>36</v>
      </c>
      <c r="F826" s="123"/>
      <c r="G826" s="105">
        <f t="shared" si="63"/>
        <v>0</v>
      </c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2.75" customHeight="1">
      <c r="A827" s="179">
        <v>46.1</v>
      </c>
      <c r="B827" s="195">
        <v>99803</v>
      </c>
      <c r="C827" s="613" t="s">
        <v>82</v>
      </c>
      <c r="D827" s="614" t="s">
        <v>186</v>
      </c>
      <c r="E827" s="125">
        <v>20</v>
      </c>
      <c r="F827" s="615"/>
      <c r="G827" s="136">
        <f t="shared" si="63"/>
        <v>0</v>
      </c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3.5" customHeight="1">
      <c r="A828" s="616"/>
      <c r="B828" s="581"/>
      <c r="C828" s="581"/>
      <c r="D828" s="716" t="s">
        <v>84</v>
      </c>
      <c r="E828" s="717"/>
      <c r="F828" s="718"/>
      <c r="G828" s="582">
        <f>SUM(G818:G827)</f>
        <v>0</v>
      </c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2.75" customHeight="1">
      <c r="A829" s="301">
        <v>47</v>
      </c>
      <c r="B829" s="720" t="s">
        <v>769</v>
      </c>
      <c r="C829" s="721"/>
      <c r="D829" s="721"/>
      <c r="E829" s="721"/>
      <c r="F829" s="721"/>
      <c r="G829" s="722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5.5" customHeight="1">
      <c r="A830" s="128">
        <v>47.1</v>
      </c>
      <c r="B830" s="124">
        <v>97629</v>
      </c>
      <c r="C830" s="124" t="s">
        <v>82</v>
      </c>
      <c r="D830" s="343" t="s">
        <v>355</v>
      </c>
      <c r="E830" s="123">
        <v>3.15</v>
      </c>
      <c r="F830" s="123"/>
      <c r="G830" s="611">
        <f t="shared" ref="G830:G839" si="64">F830*E830</f>
        <v>0</v>
      </c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41.25" customHeight="1">
      <c r="A831" s="128">
        <v>47.2</v>
      </c>
      <c r="B831" s="617">
        <v>92537</v>
      </c>
      <c r="C831" s="124" t="s">
        <v>60</v>
      </c>
      <c r="D831" s="343" t="s">
        <v>441</v>
      </c>
      <c r="E831" s="123">
        <v>8.6999999999999993</v>
      </c>
      <c r="F831" s="123"/>
      <c r="G831" s="611">
        <f t="shared" si="64"/>
        <v>0</v>
      </c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38.25" customHeight="1">
      <c r="A832" s="128">
        <v>47.3</v>
      </c>
      <c r="B832" s="107">
        <v>87630</v>
      </c>
      <c r="C832" s="97" t="s">
        <v>60</v>
      </c>
      <c r="D832" s="103" t="s">
        <v>575</v>
      </c>
      <c r="E832" s="123">
        <v>33.375</v>
      </c>
      <c r="F832" s="123"/>
      <c r="G832" s="611">
        <f t="shared" si="64"/>
        <v>0</v>
      </c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5.5" customHeight="1">
      <c r="A833" s="128">
        <v>47.4</v>
      </c>
      <c r="B833" s="97">
        <v>87263</v>
      </c>
      <c r="C833" s="97" t="s">
        <v>60</v>
      </c>
      <c r="D833" s="103" t="s">
        <v>576</v>
      </c>
      <c r="E833" s="123">
        <v>27</v>
      </c>
      <c r="F833" s="123"/>
      <c r="G833" s="105">
        <f t="shared" si="64"/>
        <v>0</v>
      </c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9.5" customHeight="1">
      <c r="A834" s="128">
        <v>47.5</v>
      </c>
      <c r="B834" s="97" t="s">
        <v>497</v>
      </c>
      <c r="C834" s="97" t="s">
        <v>60</v>
      </c>
      <c r="D834" s="122" t="str">
        <f>'Composição de Custos '!D546</f>
        <v>ADEQUAÇÃO TUBOS DE AÇO INOX  D= 3,8 EM CORRIMAO E GUARDA-CORPO</v>
      </c>
      <c r="E834" s="123">
        <v>22.8</v>
      </c>
      <c r="F834" s="123"/>
      <c r="G834" s="105">
        <f t="shared" si="64"/>
        <v>0</v>
      </c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49.5" customHeight="1">
      <c r="A835" s="128">
        <v>47.6</v>
      </c>
      <c r="B835" s="97" t="s">
        <v>151</v>
      </c>
      <c r="C835" s="124" t="s">
        <v>60</v>
      </c>
      <c r="D835" s="153" t="str">
        <f>'Composição de Custos '!D186</f>
        <v>EXECUÇÃO DE GUIA DE BALIZAMENTO EM CONCRETO MOLDADO IN LOCO,  ARMADURA 6.3MM, LARGURA 15 CM E ALTURA 5 CM., INCLUSIVE PINTURA COM TINTA ACRÍLICA PARA PISO CIMENTADO 2 DEMÃOS.</v>
      </c>
      <c r="E835" s="123">
        <v>0.9</v>
      </c>
      <c r="F835" s="125"/>
      <c r="G835" s="105">
        <f t="shared" si="64"/>
        <v>0</v>
      </c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5.5" customHeight="1">
      <c r="A836" s="128">
        <v>47.7</v>
      </c>
      <c r="B836" s="97" t="s">
        <v>136</v>
      </c>
      <c r="C836" s="124" t="s">
        <v>45</v>
      </c>
      <c r="D836" s="103" t="str">
        <f>'Composição de Custos '!D27</f>
        <v>SINALIZAÇÃO EM BRAILE EM ALUMÍNIO AUTO ADESIVO (100X30) MM COM ESP. 0,25MM - INDICA O PAVIMENTO</v>
      </c>
      <c r="E836" s="123">
        <v>4</v>
      </c>
      <c r="F836" s="105"/>
      <c r="G836" s="105">
        <f t="shared" si="64"/>
        <v>0</v>
      </c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6.5" customHeight="1">
      <c r="A837" s="128">
        <v>47.8</v>
      </c>
      <c r="B837" s="97" t="s">
        <v>247</v>
      </c>
      <c r="C837" s="124" t="s">
        <v>45</v>
      </c>
      <c r="D837" s="153" t="str">
        <f>'Composição de Custos '!D145</f>
        <v>INSTALAÇÃO DE FAIXA ANTIDERRAPANTE DE DEGRAUS (ROLO COM 5M)</v>
      </c>
      <c r="E837" s="123">
        <v>9</v>
      </c>
      <c r="F837" s="216"/>
      <c r="G837" s="105">
        <f t="shared" si="64"/>
        <v>0</v>
      </c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25" customHeight="1">
      <c r="A838" s="128">
        <v>47.9</v>
      </c>
      <c r="B838" s="97" t="s">
        <v>141</v>
      </c>
      <c r="C838" s="124" t="s">
        <v>45</v>
      </c>
      <c r="D838" s="103" t="str">
        <f>'Composição de Custos '!D33</f>
        <v>INSTALAÇÃO DE FAIXA DE SINALIZAÇÃO VISUAL FOTOLUMINESCENTE DE DEGRAUS COMP. 7 CM X LARG. 3.5CM.</v>
      </c>
      <c r="E838" s="123">
        <v>40</v>
      </c>
      <c r="F838" s="123"/>
      <c r="G838" s="105">
        <f t="shared" si="64"/>
        <v>0</v>
      </c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2.75" customHeight="1">
      <c r="A839" s="179">
        <v>47.1</v>
      </c>
      <c r="B839" s="195">
        <v>99803</v>
      </c>
      <c r="C839" s="613" t="s">
        <v>82</v>
      </c>
      <c r="D839" s="614" t="s">
        <v>186</v>
      </c>
      <c r="E839" s="123">
        <v>30</v>
      </c>
      <c r="F839" s="615"/>
      <c r="G839" s="136">
        <f t="shared" si="64"/>
        <v>0</v>
      </c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3.5" customHeight="1">
      <c r="A840" s="486"/>
      <c r="B840" s="113"/>
      <c r="C840" s="113"/>
      <c r="D840" s="705" t="s">
        <v>84</v>
      </c>
      <c r="E840" s="682"/>
      <c r="F840" s="683"/>
      <c r="G840" s="130">
        <f>SUM(G830:G839)</f>
        <v>0</v>
      </c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2.75" customHeight="1">
      <c r="A841" s="95">
        <v>49</v>
      </c>
      <c r="B841" s="696" t="s">
        <v>770</v>
      </c>
      <c r="C841" s="682"/>
      <c r="D841" s="682"/>
      <c r="E841" s="682"/>
      <c r="F841" s="682"/>
      <c r="G841" s="683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.5" customHeight="1">
      <c r="A842" s="618"/>
      <c r="B842" s="619"/>
      <c r="C842" s="620"/>
      <c r="D842" s="620"/>
      <c r="E842" s="620"/>
      <c r="F842" s="620"/>
      <c r="G842" s="621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.5" customHeight="1">
      <c r="A843" s="618"/>
      <c r="B843" s="619"/>
      <c r="C843" s="620"/>
      <c r="D843" s="620"/>
      <c r="E843" s="620"/>
      <c r="F843" s="620"/>
      <c r="G843" s="621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5.5" customHeight="1">
      <c r="A844" s="128">
        <v>49.1</v>
      </c>
      <c r="B844" s="97" t="s">
        <v>278</v>
      </c>
      <c r="C844" s="97" t="s">
        <v>45</v>
      </c>
      <c r="D844" s="103" t="str">
        <f>'Composição de Custos '!D199</f>
        <v xml:space="preserve">RETIRADA E ASSENTAMENTO DE SOLEIRA EM GRANITO VERDE UBATUBA, TABEIRA, DEGRAUS E SOLEIRAS, ASSENTADO COM ARGAMASSA AC-III CONFORME PROJETO </v>
      </c>
      <c r="E844" s="129">
        <v>1</v>
      </c>
      <c r="F844" s="615"/>
      <c r="G844" s="105">
        <f>F844*E844</f>
        <v>0</v>
      </c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36.75" customHeight="1">
      <c r="A845" s="128">
        <v>49.2</v>
      </c>
      <c r="B845" s="97">
        <v>97622</v>
      </c>
      <c r="C845" s="97" t="s">
        <v>82</v>
      </c>
      <c r="D845" s="103" t="s">
        <v>585</v>
      </c>
      <c r="E845" s="622">
        <f>0.1*2.1*0.15</f>
        <v>3.15E-2</v>
      </c>
      <c r="F845" s="615"/>
      <c r="G845" s="256">
        <f>E845*F845</f>
        <v>0</v>
      </c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36.75" customHeight="1">
      <c r="A846" s="128">
        <v>49.3</v>
      </c>
      <c r="B846" s="97">
        <v>87274</v>
      </c>
      <c r="C846" s="97" t="s">
        <v>60</v>
      </c>
      <c r="D846" s="103" t="s">
        <v>290</v>
      </c>
      <c r="E846" s="286">
        <f>0.33*1.6</f>
        <v>0.52800000000000002</v>
      </c>
      <c r="F846" s="615"/>
      <c r="G846" s="256">
        <f t="shared" ref="G846:G866" si="65">F846*E846</f>
        <v>0</v>
      </c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5.5" customHeight="1">
      <c r="A847" s="128">
        <v>49.4</v>
      </c>
      <c r="B847" s="97" t="s">
        <v>189</v>
      </c>
      <c r="C847" s="124" t="s">
        <v>45</v>
      </c>
      <c r="D847" s="103" t="str">
        <f>'Composição de Custos '!D79</f>
        <v>SUBSTITUIÇÃO DA PORTA SANITÁRIO ACESSÍVEL COM INSTALAÇÃO DE CHAPA ( 2 lados) E PUXADOR HORIZONTAL( COMPRIMENTO 45CM E DIAM. 3CM)  PORTA DE 90</v>
      </c>
      <c r="E847" s="216">
        <v>1</v>
      </c>
      <c r="F847" s="615"/>
      <c r="G847" s="256">
        <f t="shared" si="65"/>
        <v>0</v>
      </c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38.25" customHeight="1">
      <c r="A848" s="128">
        <v>49.5</v>
      </c>
      <c r="B848" s="97">
        <v>90830</v>
      </c>
      <c r="C848" s="124" t="s">
        <v>45</v>
      </c>
      <c r="D848" s="103" t="s">
        <v>295</v>
      </c>
      <c r="E848" s="190">
        <v>1</v>
      </c>
      <c r="F848" s="615"/>
      <c r="G848" s="105">
        <f t="shared" si="65"/>
        <v>0</v>
      </c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3.5" customHeight="1">
      <c r="A849" s="128">
        <v>49.6</v>
      </c>
      <c r="B849" s="133" t="s">
        <v>230</v>
      </c>
      <c r="C849" s="124" t="s">
        <v>45</v>
      </c>
      <c r="D849" s="213" t="str">
        <f>'Composição de Custos '!D279</f>
        <v>PLACA DE SINALIZAÇÃO EM BRAILLE E AUTORELEVO 20 X 40 - ACRILICO COM SIMBOLO INTERNACIONAL DE ACESSO CONFORME PROJETO</v>
      </c>
      <c r="E849" s="216">
        <v>1</v>
      </c>
      <c r="F849" s="216"/>
      <c r="G849" s="256">
        <f t="shared" si="65"/>
        <v>0</v>
      </c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5.5" customHeight="1">
      <c r="A850" s="128">
        <v>49.7</v>
      </c>
      <c r="B850" s="144" t="str">
        <f>'Composição de Custos '!A258</f>
        <v>C021.5</v>
      </c>
      <c r="C850" s="144" t="s">
        <v>45</v>
      </c>
      <c r="D850" s="103" t="str">
        <f>'Composição de Custos '!D258</f>
        <v>INVERTER ABERTURA DA PORTA E INSTALAR PUXADOR HORIZONTAL E TARJETA LIVRE/OCUPADO</v>
      </c>
      <c r="E850" s="129">
        <v>1</v>
      </c>
      <c r="F850" s="615"/>
      <c r="G850" s="105">
        <f t="shared" si="65"/>
        <v>0</v>
      </c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2.75" customHeight="1">
      <c r="A851" s="128">
        <v>49.8</v>
      </c>
      <c r="B851" s="367" t="s">
        <v>429</v>
      </c>
      <c r="C851" s="367" t="s">
        <v>45</v>
      </c>
      <c r="D851" s="103" t="str">
        <f>'Composição de Custos '!D513</f>
        <v>RETIRADA DE LOUÇAS SANITÁRIAS</v>
      </c>
      <c r="E851" s="190">
        <v>2</v>
      </c>
      <c r="F851" s="615"/>
      <c r="G851" s="105">
        <f t="shared" si="65"/>
        <v>0</v>
      </c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2.75" customHeight="1">
      <c r="A852" s="128">
        <v>49.9</v>
      </c>
      <c r="B852" s="144" t="s">
        <v>246</v>
      </c>
      <c r="C852" s="97" t="s">
        <v>45</v>
      </c>
      <c r="D852" s="261" t="str">
        <f>'Composição de Custos '!D319</f>
        <v>READEQUAÇÃO DE PONTO HIDRAULICO PARA VASO SANITÁRIO</v>
      </c>
      <c r="E852" s="257">
        <v>1</v>
      </c>
      <c r="F852" s="125"/>
      <c r="G852" s="105">
        <f t="shared" si="65"/>
        <v>0</v>
      </c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30.75" customHeight="1">
      <c r="A853" s="580">
        <v>49.1</v>
      </c>
      <c r="B853" s="133" t="s">
        <v>565</v>
      </c>
      <c r="C853" s="124" t="s">
        <v>45</v>
      </c>
      <c r="D853" s="103" t="str">
        <f>'Composição de Custos '!D957</f>
        <v>LAVATÓRIO LOUÇA BRANCA SUSPENSO, 29,5 X 39CM OU EQUIVALENTE, PADRÃO POPULAR - FORNECIMENTO E INSTALAÇÃO. AF_12/2013</v>
      </c>
      <c r="E853" s="123">
        <v>1</v>
      </c>
      <c r="F853" s="615"/>
      <c r="G853" s="105">
        <f t="shared" si="65"/>
        <v>0</v>
      </c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5.5" customHeight="1">
      <c r="A854" s="128">
        <v>49.11</v>
      </c>
      <c r="B854" s="133" t="s">
        <v>202</v>
      </c>
      <c r="C854" s="124" t="s">
        <v>45</v>
      </c>
      <c r="D854" s="103" t="str">
        <f>'Composição de Custos '!D99</f>
        <v>TORNEIRA LAVATORIO PRESSMATIC,  VOLANTE TIPO ALAVANCA, PARA LAVATÓRIO DE P.N.E DOCOL OU SIMILAR</v>
      </c>
      <c r="E854" s="123">
        <v>1</v>
      </c>
      <c r="F854" s="257"/>
      <c r="G854" s="105">
        <f t="shared" si="65"/>
        <v>0</v>
      </c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38.25" customHeight="1">
      <c r="A855" s="128">
        <v>49.12</v>
      </c>
      <c r="B855" s="133" t="s">
        <v>386</v>
      </c>
      <c r="C855" s="124" t="s">
        <v>45</v>
      </c>
      <c r="D855" s="103" t="str">
        <f>'Composição de Custos '!D353</f>
        <v>READEQUAÇÃO DA ALTURA DE APARELHOS SANITÁRIOS   ATRAVÉS DA INSTALAÇÃO DE SÓCULO NA BASE PARA ADEQUAÇÃO DA NORMA DE ACESSIBILIDADE NBR 9050, ITEM 7.3.14</v>
      </c>
      <c r="E855" s="123">
        <v>1</v>
      </c>
      <c r="F855" s="615"/>
      <c r="G855" s="105">
        <f t="shared" si="65"/>
        <v>0</v>
      </c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30.75" customHeight="1">
      <c r="A856" s="128">
        <v>49.13</v>
      </c>
      <c r="B856" s="97" t="s">
        <v>184</v>
      </c>
      <c r="C856" s="97" t="s">
        <v>45</v>
      </c>
      <c r="D856" s="103" t="str">
        <f>'Composição de Custos '!D72</f>
        <v xml:space="preserve">BARRA DE APOIO EM TUBO DE AÇO INOXIDÁVEL OU ALUMÍNIO, COM 70 CM, DIAM. 30 À 45 MM, FIXAÇÃO VERTICAL OU HORIZONTAL  </v>
      </c>
      <c r="E856" s="125">
        <v>1</v>
      </c>
      <c r="F856" s="615"/>
      <c r="G856" s="105">
        <f t="shared" si="65"/>
        <v>0</v>
      </c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9.25" customHeight="1">
      <c r="A857" s="128">
        <v>49.14</v>
      </c>
      <c r="B857" s="133" t="s">
        <v>271</v>
      </c>
      <c r="C857" s="124" t="s">
        <v>45</v>
      </c>
      <c r="D857" s="103" t="str">
        <f>'Composição de Custos '!D179</f>
        <v>BARRA DE APOIO RETA, EM ACO INOX POLIDO, COMPRIMENTO 40CM, DIAMETRO MINIMO 3, FIXAÇÃO VERTICAL NA PAREDE</v>
      </c>
      <c r="E857" s="123">
        <v>2</v>
      </c>
      <c r="F857" s="615"/>
      <c r="G857" s="105">
        <f t="shared" si="65"/>
        <v>0</v>
      </c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2.75" customHeight="1">
      <c r="A858" s="128">
        <v>49.15</v>
      </c>
      <c r="B858" s="422" t="s">
        <v>390</v>
      </c>
      <c r="C858" s="124" t="s">
        <v>45</v>
      </c>
      <c r="D858" s="423" t="str">
        <f>'Composição de Custos '!D362</f>
        <v>ADEQUAÇÃO DE ALTURA DE BARRAS DE APOIO EXISTENTES</v>
      </c>
      <c r="E858" s="424">
        <v>2</v>
      </c>
      <c r="F858" s="615"/>
      <c r="G858" s="105">
        <f t="shared" si="65"/>
        <v>0</v>
      </c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3.5" customHeight="1">
      <c r="A859" s="132">
        <v>49.16</v>
      </c>
      <c r="B859" s="133">
        <v>85005</v>
      </c>
      <c r="C859" s="133" t="s">
        <v>60</v>
      </c>
      <c r="D859" s="134" t="s">
        <v>263</v>
      </c>
      <c r="E859" s="135">
        <f>0.9*0.57</f>
        <v>0.51300000000000001</v>
      </c>
      <c r="F859" s="615"/>
      <c r="G859" s="136">
        <f t="shared" si="65"/>
        <v>0</v>
      </c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3.5" customHeight="1">
      <c r="A860" s="128">
        <v>49.17</v>
      </c>
      <c r="B860" s="97" t="s">
        <v>218</v>
      </c>
      <c r="C860" s="124" t="s">
        <v>45</v>
      </c>
      <c r="D860" s="103" t="str">
        <f>'Composição de Custos '!D107</f>
        <v>TOALHEIRO PLASTICO TIPO DISPENSER PARA PAPEL TOALHA INTERFOLHADO</v>
      </c>
      <c r="E860" s="125">
        <v>1</v>
      </c>
      <c r="F860" s="615"/>
      <c r="G860" s="105">
        <f t="shared" si="65"/>
        <v>0</v>
      </c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4.75" customHeight="1">
      <c r="A861" s="128">
        <v>49.18</v>
      </c>
      <c r="B861" s="97" t="s">
        <v>220</v>
      </c>
      <c r="C861" s="97" t="s">
        <v>45</v>
      </c>
      <c r="D861" s="103" t="str">
        <f>'Composição de Custos '!D112</f>
        <v>SABONETEIRA PLASTICA TIPO DISPENSER PARA SABONETE LIQUIDO COM RESERVATORIO 800 A 1500 ML</v>
      </c>
      <c r="E861" s="125">
        <v>1</v>
      </c>
      <c r="F861" s="615"/>
      <c r="G861" s="105">
        <f t="shared" si="65"/>
        <v>0</v>
      </c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3.5" customHeight="1">
      <c r="A862" s="128">
        <v>49.19</v>
      </c>
      <c r="B862" s="97" t="s">
        <v>223</v>
      </c>
      <c r="C862" s="124" t="s">
        <v>45</v>
      </c>
      <c r="D862" s="103" t="str">
        <f>'Composição de Custos '!D117</f>
        <v>TOALHEIRO PLASTICO TIPO DISPENSER PARA PAPEL TOALHA INTERFOLHADO PARA BOX SANITÁRIO</v>
      </c>
      <c r="E862" s="190">
        <v>1</v>
      </c>
      <c r="F862" s="190"/>
      <c r="G862" s="105">
        <f t="shared" si="65"/>
        <v>0</v>
      </c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2.75" customHeight="1">
      <c r="A863" s="580">
        <v>49.2</v>
      </c>
      <c r="B863" s="97">
        <v>377</v>
      </c>
      <c r="C863" s="124" t="s">
        <v>45</v>
      </c>
      <c r="D863" s="213" t="s">
        <v>771</v>
      </c>
      <c r="E863" s="216">
        <v>1</v>
      </c>
      <c r="F863" s="615"/>
      <c r="G863" s="105">
        <f t="shared" si="65"/>
        <v>0</v>
      </c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2.75" customHeight="1">
      <c r="A864" s="128">
        <v>49.21</v>
      </c>
      <c r="B864" s="97">
        <v>72897</v>
      </c>
      <c r="C864" s="211" t="s">
        <v>82</v>
      </c>
      <c r="D864" s="213" t="s">
        <v>83</v>
      </c>
      <c r="E864" s="216">
        <v>1</v>
      </c>
      <c r="F864" s="615"/>
      <c r="G864" s="105">
        <f t="shared" si="65"/>
        <v>0</v>
      </c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2.75" customHeight="1">
      <c r="A865" s="132">
        <v>49.22</v>
      </c>
      <c r="B865" s="133" t="s">
        <v>728</v>
      </c>
      <c r="C865" s="324" t="s">
        <v>125</v>
      </c>
      <c r="D865" s="325" t="s">
        <v>729</v>
      </c>
      <c r="E865" s="345">
        <v>1</v>
      </c>
      <c r="F865" s="615"/>
      <c r="G865" s="136">
        <f t="shared" si="65"/>
        <v>0</v>
      </c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2.75" customHeight="1">
      <c r="A866" s="132">
        <v>49.23</v>
      </c>
      <c r="B866" s="133">
        <v>99803</v>
      </c>
      <c r="C866" s="133" t="s">
        <v>82</v>
      </c>
      <c r="D866" s="134" t="s">
        <v>186</v>
      </c>
      <c r="E866" s="135">
        <v>25</v>
      </c>
      <c r="F866" s="615"/>
      <c r="G866" s="136">
        <f t="shared" si="65"/>
        <v>0</v>
      </c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3.5" customHeight="1">
      <c r="A867" s="185"/>
      <c r="B867" s="185"/>
      <c r="C867" s="623"/>
      <c r="D867" s="702" t="s">
        <v>84</v>
      </c>
      <c r="E867" s="703"/>
      <c r="F867" s="719"/>
      <c r="G867" s="230">
        <f>SUM(G844:G866)</f>
        <v>0</v>
      </c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2.75" customHeight="1">
      <c r="A868" s="95">
        <v>50</v>
      </c>
      <c r="B868" s="696" t="s">
        <v>772</v>
      </c>
      <c r="C868" s="682"/>
      <c r="D868" s="682"/>
      <c r="E868" s="682"/>
      <c r="F868" s="682"/>
      <c r="G868" s="683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5.5" customHeight="1">
      <c r="A869" s="128">
        <v>50.1</v>
      </c>
      <c r="B869" s="97" t="s">
        <v>278</v>
      </c>
      <c r="C869" s="97" t="s">
        <v>45</v>
      </c>
      <c r="D869" s="103" t="str">
        <f>'Composição de Custos '!D199</f>
        <v xml:space="preserve">RETIRADA E ASSENTAMENTO DE SOLEIRA EM GRANITO VERDE UBATUBA, TABEIRA, DEGRAUS E SOLEIRAS, ASSENTADO COM ARGAMASSA AC-III CONFORME PROJETO </v>
      </c>
      <c r="E869" s="129">
        <v>1</v>
      </c>
      <c r="F869" s="615"/>
      <c r="G869" s="105">
        <f>F869*E869</f>
        <v>0</v>
      </c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5.5" customHeight="1">
      <c r="A870" s="128">
        <v>50.2</v>
      </c>
      <c r="B870" s="97">
        <v>97622</v>
      </c>
      <c r="C870" s="97" t="s">
        <v>82</v>
      </c>
      <c r="D870" s="103" t="s">
        <v>585</v>
      </c>
      <c r="E870" s="286">
        <f>0.1*2.1*0.15</f>
        <v>3.15E-2</v>
      </c>
      <c r="F870" s="615"/>
      <c r="G870" s="256">
        <f>E870*F870</f>
        <v>0</v>
      </c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5.5" customHeight="1">
      <c r="A871" s="128">
        <v>50.3</v>
      </c>
      <c r="B871" s="97">
        <v>87274</v>
      </c>
      <c r="C871" s="97" t="s">
        <v>60</v>
      </c>
      <c r="D871" s="103" t="s">
        <v>290</v>
      </c>
      <c r="E871" s="286">
        <f>0.33*1.6</f>
        <v>0.52800000000000002</v>
      </c>
      <c r="F871" s="615"/>
      <c r="G871" s="256">
        <f t="shared" ref="G871:G894" si="66">F871*E871</f>
        <v>0</v>
      </c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5.5" customHeight="1">
      <c r="A872" s="128">
        <v>50.4</v>
      </c>
      <c r="B872" s="97" t="s">
        <v>189</v>
      </c>
      <c r="C872" s="124" t="s">
        <v>45</v>
      </c>
      <c r="D872" s="103" t="str">
        <f>'Composição de Custos '!D79</f>
        <v>SUBSTITUIÇÃO DA PORTA SANITÁRIO ACESSÍVEL COM INSTALAÇÃO DE CHAPA ( 2 lados) E PUXADOR HORIZONTAL( COMPRIMENTO 45CM E DIAM. 3CM)  PORTA DE 90</v>
      </c>
      <c r="E872" s="216">
        <v>1</v>
      </c>
      <c r="F872" s="615"/>
      <c r="G872" s="256">
        <f t="shared" si="66"/>
        <v>0</v>
      </c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38.25" customHeight="1">
      <c r="A873" s="128">
        <v>50.5</v>
      </c>
      <c r="B873" s="97">
        <v>90830</v>
      </c>
      <c r="C873" s="124" t="s">
        <v>45</v>
      </c>
      <c r="D873" s="103" t="s">
        <v>295</v>
      </c>
      <c r="E873" s="190">
        <v>1</v>
      </c>
      <c r="F873" s="615"/>
      <c r="G873" s="105">
        <f t="shared" si="66"/>
        <v>0</v>
      </c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3.5" customHeight="1">
      <c r="A874" s="128">
        <v>50.6</v>
      </c>
      <c r="B874" s="133" t="s">
        <v>230</v>
      </c>
      <c r="C874" s="124" t="s">
        <v>45</v>
      </c>
      <c r="D874" s="213" t="str">
        <f>'Composição de Custos '!D279</f>
        <v>PLACA DE SINALIZAÇÃO EM BRAILLE E AUTORELEVO 20 X 40 - ACRILICO COM SIMBOLO INTERNACIONAL DE ACESSO CONFORME PROJETO</v>
      </c>
      <c r="E874" s="216">
        <v>1</v>
      </c>
      <c r="F874" s="615"/>
      <c r="G874" s="256">
        <f t="shared" si="66"/>
        <v>0</v>
      </c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2.75" customHeight="1">
      <c r="A875" s="128">
        <v>50.7</v>
      </c>
      <c r="B875" s="97" t="s">
        <v>233</v>
      </c>
      <c r="C875" s="97" t="s">
        <v>60</v>
      </c>
      <c r="D875" s="103" t="str">
        <f>'Composição de Custos '!D502</f>
        <v>RETIRADA DE CHAPA DE GRANITO DE BOX DE BANHEIRO COMO REAPROVEITAMENTO</v>
      </c>
      <c r="E875" s="125">
        <f>0.3*0.8*2</f>
        <v>0.48</v>
      </c>
      <c r="F875" s="615"/>
      <c r="G875" s="105">
        <f t="shared" si="66"/>
        <v>0</v>
      </c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2.75" customHeight="1">
      <c r="A876" s="128">
        <v>50.8</v>
      </c>
      <c r="B876" s="97" t="s">
        <v>395</v>
      </c>
      <c r="C876" s="124" t="s">
        <v>60</v>
      </c>
      <c r="D876" s="103" t="str">
        <f>'Composição de Custos '!D368</f>
        <v>DIVISÓRIA EM GRANITO, COM DUAS FACES POLIDAS, COR CINZA,  PARA INSTALAÇÃO EM BOXES DE BANHEIRO</v>
      </c>
      <c r="E876" s="190">
        <f>0.4*1.2*2</f>
        <v>0.96</v>
      </c>
      <c r="F876" s="615"/>
      <c r="G876" s="105">
        <f t="shared" si="66"/>
        <v>0</v>
      </c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2.75" customHeight="1">
      <c r="A877" s="128">
        <v>50.9</v>
      </c>
      <c r="B877" s="97" t="s">
        <v>429</v>
      </c>
      <c r="C877" s="367" t="s">
        <v>45</v>
      </c>
      <c r="D877" s="103" t="str">
        <f>'Composição de Custos '!D513</f>
        <v>RETIRADA DE LOUÇAS SANITÁRIAS</v>
      </c>
      <c r="E877" s="190">
        <v>2</v>
      </c>
      <c r="F877" s="615"/>
      <c r="G877" s="105">
        <f t="shared" si="66"/>
        <v>0</v>
      </c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2.75" customHeight="1">
      <c r="A878" s="580">
        <v>50.1</v>
      </c>
      <c r="B878" s="97" t="s">
        <v>513</v>
      </c>
      <c r="C878" s="97" t="s">
        <v>45</v>
      </c>
      <c r="D878" s="261" t="str">
        <f>'Composição de Custos '!D566</f>
        <v>ADEQUAÇÃO PONTO VALVULA MICTORIO</v>
      </c>
      <c r="E878" s="257">
        <v>1</v>
      </c>
      <c r="F878" s="615"/>
      <c r="G878" s="105">
        <f t="shared" si="66"/>
        <v>0</v>
      </c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30.75" customHeight="1">
      <c r="A879" s="128">
        <v>50.11</v>
      </c>
      <c r="B879" s="97" t="s">
        <v>184</v>
      </c>
      <c r="C879" s="97" t="s">
        <v>45</v>
      </c>
      <c r="D879" s="103" t="str">
        <f>'Composição de Custos '!D72</f>
        <v xml:space="preserve">BARRA DE APOIO EM TUBO DE AÇO INOXIDÁVEL OU ALUMÍNIO, COM 70 CM, DIAM. 30 À 45 MM, FIXAÇÃO VERTICAL OU HORIZONTAL  </v>
      </c>
      <c r="E879" s="125">
        <v>3</v>
      </c>
      <c r="F879" s="615"/>
      <c r="G879" s="105">
        <f t="shared" si="66"/>
        <v>0</v>
      </c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5.5" customHeight="1">
      <c r="A880" s="132">
        <v>50.12</v>
      </c>
      <c r="B880" s="236" t="str">
        <f>'Composição de Custos '!A258</f>
        <v>C021.5</v>
      </c>
      <c r="C880" s="236" t="s">
        <v>45</v>
      </c>
      <c r="D880" s="134" t="str">
        <f>'Composição de Custos '!D258</f>
        <v>INVERTER ABERTURA DA PORTA E INSTALAR PUXADOR HORIZONTAL E TARJETA LIVRE/OCUPADO</v>
      </c>
      <c r="E880" s="136">
        <v>1</v>
      </c>
      <c r="F880" s="615"/>
      <c r="G880" s="136">
        <f t="shared" si="66"/>
        <v>0</v>
      </c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8.5" customHeight="1">
      <c r="A881" s="128">
        <v>50.13</v>
      </c>
      <c r="B881" s="133" t="s">
        <v>565</v>
      </c>
      <c r="C881" s="124" t="s">
        <v>45</v>
      </c>
      <c r="D881" s="103" t="str">
        <f>'Composição de Custos '!D957</f>
        <v>LAVATÓRIO LOUÇA BRANCA SUSPENSO, 29,5 X 39CM OU EQUIVALENTE, PADRÃO POPULAR - FORNECIMENTO E INSTALAÇÃO. AF_12/2013</v>
      </c>
      <c r="E881" s="123">
        <v>1</v>
      </c>
      <c r="F881" s="615"/>
      <c r="G881" s="105">
        <f t="shared" si="66"/>
        <v>0</v>
      </c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5.5" customHeight="1">
      <c r="A882" s="128">
        <v>50.14</v>
      </c>
      <c r="B882" s="133" t="s">
        <v>202</v>
      </c>
      <c r="C882" s="124" t="s">
        <v>45</v>
      </c>
      <c r="D882" s="103" t="str">
        <f>'Composição de Custos '!D99</f>
        <v>TORNEIRA LAVATORIO PRESSMATIC,  VOLANTE TIPO ALAVANCA, PARA LAVATÓRIO DE P.N.E DOCOL OU SIMILAR</v>
      </c>
      <c r="E882" s="123">
        <v>1</v>
      </c>
      <c r="F882" s="257"/>
      <c r="G882" s="105">
        <f t="shared" si="66"/>
        <v>0</v>
      </c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38.25" customHeight="1">
      <c r="A883" s="128">
        <v>50.15</v>
      </c>
      <c r="B883" s="97" t="s">
        <v>386</v>
      </c>
      <c r="C883" s="124" t="s">
        <v>45</v>
      </c>
      <c r="D883" s="103" t="str">
        <f>'Composição de Custos '!D353</f>
        <v>READEQUAÇÃO DA ALTURA DE APARELHOS SANITÁRIOS   ATRAVÉS DA INSTALAÇÃO DE SÓCULO NA BASE PARA ADEQUAÇÃO DA NORMA DE ACESSIBILIDADE NBR 9050, ITEM 7.3.14</v>
      </c>
      <c r="E883" s="123">
        <v>1</v>
      </c>
      <c r="F883" s="615"/>
      <c r="G883" s="105">
        <f t="shared" si="66"/>
        <v>0</v>
      </c>
      <c r="H883" s="79"/>
      <c r="I883" s="79"/>
      <c r="J883" s="120" t="e">
        <f>#REF!+#REF!+G828+#REF!+G867+G895+G917+G941+G965+G993+G1012+G1034+G1045+G1061+G1086+G1112+G1121</f>
        <v>#REF!</v>
      </c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30.75" customHeight="1">
      <c r="A884" s="128">
        <v>50.16</v>
      </c>
      <c r="B884" s="97" t="s">
        <v>184</v>
      </c>
      <c r="C884" s="97" t="s">
        <v>45</v>
      </c>
      <c r="D884" s="103" t="str">
        <f>'Composição de Custos '!D72</f>
        <v xml:space="preserve">BARRA DE APOIO EM TUBO DE AÇO INOXIDÁVEL OU ALUMÍNIO, COM 70 CM, DIAM. 30 À 45 MM, FIXAÇÃO VERTICAL OU HORIZONTAL  </v>
      </c>
      <c r="E884" s="125">
        <v>3</v>
      </c>
      <c r="F884" s="615"/>
      <c r="G884" s="105">
        <f t="shared" si="66"/>
        <v>0</v>
      </c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9.25" customHeight="1">
      <c r="A885" s="128">
        <v>50.17</v>
      </c>
      <c r="B885" s="133" t="s">
        <v>271</v>
      </c>
      <c r="C885" s="124" t="s">
        <v>45</v>
      </c>
      <c r="D885" s="103" t="str">
        <f>'Composição de Custos '!D179</f>
        <v>BARRA DE APOIO RETA, EM ACO INOX POLIDO, COMPRIMENTO 40CM, DIAMETRO MINIMO 3, FIXAÇÃO VERTICAL NA PAREDE</v>
      </c>
      <c r="E885" s="123">
        <v>2</v>
      </c>
      <c r="F885" s="615"/>
      <c r="G885" s="105">
        <f t="shared" si="66"/>
        <v>0</v>
      </c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2.75" customHeight="1">
      <c r="A886" s="128">
        <v>50.18</v>
      </c>
      <c r="B886" s="422" t="s">
        <v>390</v>
      </c>
      <c r="C886" s="124" t="s">
        <v>45</v>
      </c>
      <c r="D886" s="423" t="str">
        <f>'Composição de Custos '!D362</f>
        <v>ADEQUAÇÃO DE ALTURA DE BARRAS DE APOIO EXISTENTES</v>
      </c>
      <c r="E886" s="424">
        <v>1</v>
      </c>
      <c r="F886" s="615"/>
      <c r="G886" s="105">
        <f t="shared" si="66"/>
        <v>0</v>
      </c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3.5" customHeight="1">
      <c r="A887" s="128">
        <v>50.19</v>
      </c>
      <c r="B887" s="97">
        <v>85005</v>
      </c>
      <c r="C887" s="97" t="s">
        <v>60</v>
      </c>
      <c r="D887" s="103" t="s">
        <v>263</v>
      </c>
      <c r="E887" s="125">
        <f>0.9*0.57</f>
        <v>0.51300000000000001</v>
      </c>
      <c r="F887" s="615"/>
      <c r="G887" s="105">
        <f t="shared" si="66"/>
        <v>0</v>
      </c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3.5" customHeight="1">
      <c r="A888" s="368">
        <v>50.2</v>
      </c>
      <c r="B888" s="97" t="s">
        <v>218</v>
      </c>
      <c r="C888" s="124" t="s">
        <v>45</v>
      </c>
      <c r="D888" s="103" t="str">
        <f>'Composição de Custos '!D107</f>
        <v>TOALHEIRO PLASTICO TIPO DISPENSER PARA PAPEL TOALHA INTERFOLHADO</v>
      </c>
      <c r="E888" s="125">
        <v>1</v>
      </c>
      <c r="F888" s="615"/>
      <c r="G888" s="105">
        <f t="shared" si="66"/>
        <v>0</v>
      </c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4.75" customHeight="1">
      <c r="A889" s="128">
        <v>50.21</v>
      </c>
      <c r="B889" s="97" t="s">
        <v>220</v>
      </c>
      <c r="C889" s="97" t="s">
        <v>45</v>
      </c>
      <c r="D889" s="103" t="str">
        <f>'Composição de Custos '!D112</f>
        <v>SABONETEIRA PLASTICA TIPO DISPENSER PARA SABONETE LIQUIDO COM RESERVATORIO 800 A 1500 ML</v>
      </c>
      <c r="E889" s="125">
        <v>1</v>
      </c>
      <c r="F889" s="615"/>
      <c r="G889" s="105">
        <f t="shared" si="66"/>
        <v>0</v>
      </c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3.5" customHeight="1">
      <c r="A890" s="128">
        <v>50.22</v>
      </c>
      <c r="B890" s="97" t="s">
        <v>223</v>
      </c>
      <c r="C890" s="124" t="s">
        <v>45</v>
      </c>
      <c r="D890" s="103" t="str">
        <f>'Composição de Custos '!D117</f>
        <v>TOALHEIRO PLASTICO TIPO DISPENSER PARA PAPEL TOALHA INTERFOLHADO PARA BOX SANITÁRIO</v>
      </c>
      <c r="E890" s="190">
        <v>1</v>
      </c>
      <c r="F890" s="615"/>
      <c r="G890" s="105">
        <f t="shared" si="66"/>
        <v>0</v>
      </c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2.75" customHeight="1">
      <c r="A891" s="128">
        <v>50.23</v>
      </c>
      <c r="B891" s="97">
        <v>377</v>
      </c>
      <c r="C891" s="124" t="s">
        <v>45</v>
      </c>
      <c r="D891" s="213" t="s">
        <v>771</v>
      </c>
      <c r="E891" s="216">
        <v>1</v>
      </c>
      <c r="F891" s="615"/>
      <c r="G891" s="105">
        <f t="shared" si="66"/>
        <v>0</v>
      </c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2.75" customHeight="1">
      <c r="A892" s="128">
        <v>50.24</v>
      </c>
      <c r="B892" s="97">
        <v>72897</v>
      </c>
      <c r="C892" s="211" t="s">
        <v>82</v>
      </c>
      <c r="D892" s="213" t="s">
        <v>83</v>
      </c>
      <c r="E892" s="216">
        <v>1</v>
      </c>
      <c r="F892" s="615"/>
      <c r="G892" s="105">
        <f t="shared" si="66"/>
        <v>0</v>
      </c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2.75" customHeight="1">
      <c r="A893" s="132">
        <v>50.25</v>
      </c>
      <c r="B893" s="133" t="s">
        <v>728</v>
      </c>
      <c r="C893" s="324" t="s">
        <v>125</v>
      </c>
      <c r="D893" s="325" t="s">
        <v>729</v>
      </c>
      <c r="E893" s="345">
        <v>1</v>
      </c>
      <c r="F893" s="615"/>
      <c r="G893" s="136">
        <f t="shared" si="66"/>
        <v>0</v>
      </c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2.75" customHeight="1">
      <c r="A894" s="132">
        <v>50.26</v>
      </c>
      <c r="B894" s="133">
        <f>B866</f>
        <v>99803</v>
      </c>
      <c r="C894" s="133" t="s">
        <v>82</v>
      </c>
      <c r="D894" s="134" t="str">
        <f>D866</f>
        <v xml:space="preserve">LIMPEZA DE PISO CERÂMICO OU PORCELANATO COM PANO ÚMIDO. AF_04/2019 </v>
      </c>
      <c r="E894" s="135">
        <v>25</v>
      </c>
      <c r="F894" s="615"/>
      <c r="G894" s="136">
        <f t="shared" si="66"/>
        <v>0</v>
      </c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3.5" customHeight="1">
      <c r="A895" s="185"/>
      <c r="B895" s="185"/>
      <c r="C895" s="623"/>
      <c r="D895" s="702" t="s">
        <v>84</v>
      </c>
      <c r="E895" s="703"/>
      <c r="F895" s="719"/>
      <c r="G895" s="230">
        <f>SUM(G869:G894)</f>
        <v>0</v>
      </c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2.75" customHeight="1">
      <c r="A896" s="95">
        <v>51</v>
      </c>
      <c r="B896" s="696" t="s">
        <v>773</v>
      </c>
      <c r="C896" s="682"/>
      <c r="D896" s="682"/>
      <c r="E896" s="682"/>
      <c r="F896" s="682"/>
      <c r="G896" s="683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5.5" customHeight="1">
      <c r="A897" s="128">
        <v>51.1</v>
      </c>
      <c r="B897" s="97" t="str">
        <f>'Composição de Custos '!A90</f>
        <v>C007.1</v>
      </c>
      <c r="C897" s="124" t="s">
        <v>45</v>
      </c>
      <c r="D897" s="103" t="str">
        <f>'Composição de Custos '!D90</f>
        <v xml:space="preserve">INSTALAÇÃO DE CHAPA (2 lados) E PUXADOR HORIZONTAL( COMPRIMENTO 40CM E DIAM. 3CM) </v>
      </c>
      <c r="E897" s="216">
        <v>1</v>
      </c>
      <c r="F897" s="615"/>
      <c r="G897" s="256">
        <f t="shared" ref="G897:G916" si="67">F897*E897</f>
        <v>0</v>
      </c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38.25" customHeight="1">
      <c r="A898" s="128">
        <v>51.2</v>
      </c>
      <c r="B898" s="97">
        <v>90830</v>
      </c>
      <c r="C898" s="124" t="s">
        <v>45</v>
      </c>
      <c r="D898" s="103" t="s">
        <v>295</v>
      </c>
      <c r="E898" s="190">
        <v>1</v>
      </c>
      <c r="F898" s="615"/>
      <c r="G898" s="105">
        <f t="shared" si="67"/>
        <v>0</v>
      </c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3.5" customHeight="1">
      <c r="A899" s="128">
        <v>51.3</v>
      </c>
      <c r="B899" s="133" t="s">
        <v>230</v>
      </c>
      <c r="C899" s="124" t="s">
        <v>45</v>
      </c>
      <c r="D899" s="213" t="str">
        <f>'Composição de Custos '!D279</f>
        <v>PLACA DE SINALIZAÇÃO EM BRAILLE E AUTORELEVO 20 X 40 - ACRILICO COM SIMBOLO INTERNACIONAL DE ACESSO CONFORME PROJETO</v>
      </c>
      <c r="E899" s="216">
        <v>1</v>
      </c>
      <c r="F899" s="190"/>
      <c r="G899" s="256">
        <f t="shared" si="67"/>
        <v>0</v>
      </c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5.5" customHeight="1">
      <c r="A900" s="128">
        <v>51.4</v>
      </c>
      <c r="B900" s="430" t="str">
        <f>'Composição de Custos '!A268</f>
        <v>C021.6</v>
      </c>
      <c r="C900" s="430" t="s">
        <v>45</v>
      </c>
      <c r="D900" s="261" t="str">
        <f>'Composição de Custos '!D268</f>
        <v>INSTALAR PUXADOR HORIZONTAL COM L=40cm E COLOCAR TARJETA LIVRE- OCUPADO</v>
      </c>
      <c r="E900" s="129">
        <v>1</v>
      </c>
      <c r="F900" s="615"/>
      <c r="G900" s="129">
        <f t="shared" si="67"/>
        <v>0</v>
      </c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2.75" customHeight="1">
      <c r="A901" s="128">
        <v>51.5</v>
      </c>
      <c r="B901" s="367" t="s">
        <v>429</v>
      </c>
      <c r="C901" s="367" t="s">
        <v>45</v>
      </c>
      <c r="D901" s="103" t="str">
        <f>'Composição de Custos '!D513</f>
        <v>RETIRADA DE LOUÇAS SANITÁRIAS</v>
      </c>
      <c r="E901" s="190">
        <v>2</v>
      </c>
      <c r="F901" s="615"/>
      <c r="G901" s="105">
        <f t="shared" si="67"/>
        <v>0</v>
      </c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2.75" customHeight="1">
      <c r="A902" s="128">
        <v>51.6</v>
      </c>
      <c r="B902" s="97" t="s">
        <v>246</v>
      </c>
      <c r="C902" s="97" t="s">
        <v>45</v>
      </c>
      <c r="D902" s="261" t="str">
        <f>'Composição de Custos '!D319</f>
        <v>READEQUAÇÃO DE PONTO HIDRAULICO PARA VASO SANITÁRIO</v>
      </c>
      <c r="E902" s="257">
        <v>1</v>
      </c>
      <c r="F902" s="615"/>
      <c r="G902" s="105">
        <f t="shared" si="67"/>
        <v>0</v>
      </c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5.5" customHeight="1">
      <c r="A903" s="128">
        <v>51.7</v>
      </c>
      <c r="B903" s="133" t="s">
        <v>202</v>
      </c>
      <c r="C903" s="124" t="s">
        <v>45</v>
      </c>
      <c r="D903" s="103" t="str">
        <f>'Composição de Custos '!D99</f>
        <v>TORNEIRA LAVATORIO PRESSMATIC,  VOLANTE TIPO ALAVANCA, PARA LAVATÓRIO DE P.N.E DOCOL OU SIMILAR</v>
      </c>
      <c r="E903" s="123">
        <v>1</v>
      </c>
      <c r="F903" s="257"/>
      <c r="G903" s="105">
        <f t="shared" si="67"/>
        <v>0</v>
      </c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38.25" customHeight="1">
      <c r="A904" s="128">
        <v>51.8</v>
      </c>
      <c r="B904" s="97">
        <v>86931</v>
      </c>
      <c r="C904" s="97" t="s">
        <v>45</v>
      </c>
      <c r="D904" s="261" t="s">
        <v>250</v>
      </c>
      <c r="E904" s="257">
        <v>1</v>
      </c>
      <c r="F904" s="615"/>
      <c r="G904" s="105">
        <f t="shared" si="67"/>
        <v>0</v>
      </c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38.25" customHeight="1">
      <c r="A905" s="624">
        <v>51.9</v>
      </c>
      <c r="B905" s="97" t="s">
        <v>386</v>
      </c>
      <c r="C905" s="124" t="s">
        <v>45</v>
      </c>
      <c r="D905" s="103" t="str">
        <f>'Composição de Custos '!D353</f>
        <v>READEQUAÇÃO DA ALTURA DE APARELHOS SANITÁRIOS   ATRAVÉS DA INSTALAÇÃO DE SÓCULO NA BASE PARA ADEQUAÇÃO DA NORMA DE ACESSIBILIDADE NBR 9050, ITEM 7.3.14</v>
      </c>
      <c r="E905" s="123">
        <v>1</v>
      </c>
      <c r="F905" s="615"/>
      <c r="G905" s="105">
        <f t="shared" si="67"/>
        <v>0</v>
      </c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30.75" customHeight="1">
      <c r="A906" s="580">
        <v>51.1</v>
      </c>
      <c r="B906" s="97" t="s">
        <v>184</v>
      </c>
      <c r="C906" s="97" t="s">
        <v>45</v>
      </c>
      <c r="D906" s="103" t="str">
        <f>'Composição de Custos '!D72</f>
        <v xml:space="preserve">BARRA DE APOIO EM TUBO DE AÇO INOXIDÁVEL OU ALUMÍNIO, COM 70 CM, DIAM. 30 À 45 MM, FIXAÇÃO VERTICAL OU HORIZONTAL  </v>
      </c>
      <c r="E906" s="125">
        <v>1</v>
      </c>
      <c r="F906" s="615"/>
      <c r="G906" s="105">
        <f t="shared" si="67"/>
        <v>0</v>
      </c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9.25" customHeight="1">
      <c r="A907" s="128">
        <v>51.11</v>
      </c>
      <c r="B907" s="97" t="s">
        <v>271</v>
      </c>
      <c r="C907" s="124" t="s">
        <v>45</v>
      </c>
      <c r="D907" s="103" t="str">
        <f>'Composição de Custos '!D179</f>
        <v>BARRA DE APOIO RETA, EM ACO INOX POLIDO, COMPRIMENTO 40CM, DIAMETRO MINIMO 3, FIXAÇÃO VERTICAL NA PAREDE</v>
      </c>
      <c r="E907" s="123">
        <v>2</v>
      </c>
      <c r="F907" s="615"/>
      <c r="G907" s="105">
        <f t="shared" si="67"/>
        <v>0</v>
      </c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5.5" customHeight="1">
      <c r="A908" s="128">
        <v>51.12</v>
      </c>
      <c r="B908" s="422" t="s">
        <v>257</v>
      </c>
      <c r="C908" s="124" t="s">
        <v>45</v>
      </c>
      <c r="D908" s="423" t="str">
        <f>'Composição de Custos '!D158</f>
        <v>BARRA DE APOIO HORIZONTAL, EM AÇO INOX PARA P.N.E L = 80CM (VASO SANITÁRIO) CONFORME NBR 9050</v>
      </c>
      <c r="E908" s="424">
        <v>2</v>
      </c>
      <c r="F908" s="615"/>
      <c r="G908" s="105">
        <f t="shared" si="67"/>
        <v>0</v>
      </c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3.5" customHeight="1">
      <c r="A909" s="128">
        <v>51.13</v>
      </c>
      <c r="B909" s="97">
        <v>85005</v>
      </c>
      <c r="C909" s="97" t="s">
        <v>60</v>
      </c>
      <c r="D909" s="103" t="s">
        <v>263</v>
      </c>
      <c r="E909" s="125">
        <f>0.9*0.57</f>
        <v>0.51300000000000001</v>
      </c>
      <c r="F909" s="615"/>
      <c r="G909" s="105">
        <f t="shared" si="67"/>
        <v>0</v>
      </c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3.5" customHeight="1">
      <c r="A910" s="128">
        <v>51.14</v>
      </c>
      <c r="B910" s="97" t="s">
        <v>218</v>
      </c>
      <c r="C910" s="124" t="s">
        <v>45</v>
      </c>
      <c r="D910" s="103" t="str">
        <f>'Composição de Custos '!D107</f>
        <v>TOALHEIRO PLASTICO TIPO DISPENSER PARA PAPEL TOALHA INTERFOLHADO</v>
      </c>
      <c r="E910" s="125">
        <v>1</v>
      </c>
      <c r="F910" s="615"/>
      <c r="G910" s="105">
        <f t="shared" si="67"/>
        <v>0</v>
      </c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4.75" customHeight="1">
      <c r="A911" s="128">
        <v>51.15</v>
      </c>
      <c r="B911" s="97" t="s">
        <v>220</v>
      </c>
      <c r="C911" s="97" t="s">
        <v>45</v>
      </c>
      <c r="D911" s="103" t="str">
        <f>'Composição de Custos '!D112</f>
        <v>SABONETEIRA PLASTICA TIPO DISPENSER PARA SABONETE LIQUIDO COM RESERVATORIO 800 A 1500 ML</v>
      </c>
      <c r="E911" s="125">
        <v>1</v>
      </c>
      <c r="F911" s="615"/>
      <c r="G911" s="105">
        <f t="shared" si="67"/>
        <v>0</v>
      </c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3.5" customHeight="1">
      <c r="A912" s="128">
        <v>51.16</v>
      </c>
      <c r="B912" s="97" t="s">
        <v>223</v>
      </c>
      <c r="C912" s="124" t="s">
        <v>45</v>
      </c>
      <c r="D912" s="103" t="str">
        <f>'Composição de Custos '!D117</f>
        <v>TOALHEIRO PLASTICO TIPO DISPENSER PARA PAPEL TOALHA INTERFOLHADO PARA BOX SANITÁRIO</v>
      </c>
      <c r="E912" s="190">
        <v>1</v>
      </c>
      <c r="F912" s="615"/>
      <c r="G912" s="105">
        <f t="shared" si="67"/>
        <v>0</v>
      </c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2.75" customHeight="1">
      <c r="A913" s="128">
        <v>51.17</v>
      </c>
      <c r="B913" s="97">
        <v>377</v>
      </c>
      <c r="C913" s="124" t="s">
        <v>45</v>
      </c>
      <c r="D913" s="213" t="s">
        <v>771</v>
      </c>
      <c r="E913" s="216">
        <v>1</v>
      </c>
      <c r="F913" s="615"/>
      <c r="G913" s="105">
        <f t="shared" si="67"/>
        <v>0</v>
      </c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2.75" customHeight="1">
      <c r="A914" s="128">
        <v>51.18</v>
      </c>
      <c r="B914" s="97">
        <v>72897</v>
      </c>
      <c r="C914" s="211" t="s">
        <v>82</v>
      </c>
      <c r="D914" s="213" t="s">
        <v>83</v>
      </c>
      <c r="E914" s="216">
        <v>1</v>
      </c>
      <c r="F914" s="615"/>
      <c r="G914" s="105">
        <f t="shared" si="67"/>
        <v>0</v>
      </c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2.75" customHeight="1">
      <c r="A915" s="179">
        <v>51.19</v>
      </c>
      <c r="B915" s="133" t="s">
        <v>728</v>
      </c>
      <c r="C915" s="324" t="s">
        <v>125</v>
      </c>
      <c r="D915" s="325" t="s">
        <v>729</v>
      </c>
      <c r="E915" s="345">
        <v>1</v>
      </c>
      <c r="F915" s="615"/>
      <c r="G915" s="136">
        <f t="shared" si="67"/>
        <v>0</v>
      </c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2.75" customHeight="1">
      <c r="A916" s="610">
        <v>51.2</v>
      </c>
      <c r="B916" s="133">
        <f>B894</f>
        <v>99803</v>
      </c>
      <c r="C916" s="133" t="s">
        <v>82</v>
      </c>
      <c r="D916" s="134" t="str">
        <f>D894</f>
        <v xml:space="preserve">LIMPEZA DE PISO CERÂMICO OU PORCELANATO COM PANO ÚMIDO. AF_04/2019 </v>
      </c>
      <c r="E916" s="135">
        <v>25</v>
      </c>
      <c r="F916" s="615"/>
      <c r="G916" s="136">
        <f t="shared" si="67"/>
        <v>0</v>
      </c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3.5" customHeight="1">
      <c r="A917" s="581"/>
      <c r="B917" s="581"/>
      <c r="C917" s="625"/>
      <c r="D917" s="716" t="s">
        <v>84</v>
      </c>
      <c r="E917" s="717"/>
      <c r="F917" s="726"/>
      <c r="G917" s="582">
        <f>SUM(G897:G916)</f>
        <v>0</v>
      </c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2.75" customHeight="1">
      <c r="A918" s="301">
        <v>52</v>
      </c>
      <c r="B918" s="720" t="s">
        <v>774</v>
      </c>
      <c r="C918" s="721"/>
      <c r="D918" s="721"/>
      <c r="E918" s="721"/>
      <c r="F918" s="721"/>
      <c r="G918" s="722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5.5" customHeight="1">
      <c r="A919" s="128">
        <v>52.1</v>
      </c>
      <c r="B919" s="97" t="str">
        <f>B897</f>
        <v>C007.1</v>
      </c>
      <c r="C919" s="124" t="s">
        <v>45</v>
      </c>
      <c r="D919" s="103" t="str">
        <f>D897</f>
        <v xml:space="preserve">INSTALAÇÃO DE CHAPA (2 lados) E PUXADOR HORIZONTAL( COMPRIMENTO 40CM E DIAM. 3CM) </v>
      </c>
      <c r="E919" s="216">
        <v>1</v>
      </c>
      <c r="F919" s="615"/>
      <c r="G919" s="256">
        <f t="shared" ref="G919:G940" si="68">F919*E919</f>
        <v>0</v>
      </c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38.25" customHeight="1">
      <c r="A920" s="128">
        <v>52.2</v>
      </c>
      <c r="B920" s="97">
        <v>90830</v>
      </c>
      <c r="C920" s="97" t="s">
        <v>45</v>
      </c>
      <c r="D920" s="103" t="s">
        <v>295</v>
      </c>
      <c r="E920" s="190">
        <v>1</v>
      </c>
      <c r="F920" s="615"/>
      <c r="G920" s="105">
        <f t="shared" si="68"/>
        <v>0</v>
      </c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3.5" customHeight="1">
      <c r="A921" s="128">
        <v>52.3</v>
      </c>
      <c r="B921" s="133" t="s">
        <v>230</v>
      </c>
      <c r="C921" s="124" t="s">
        <v>45</v>
      </c>
      <c r="D921" s="213" t="str">
        <f>'Composição de Custos '!D279</f>
        <v>PLACA DE SINALIZAÇÃO EM BRAILLE E AUTORELEVO 20 X 40 - ACRILICO COM SIMBOLO INTERNACIONAL DE ACESSO CONFORME PROJETO</v>
      </c>
      <c r="E921" s="216">
        <v>1</v>
      </c>
      <c r="F921" s="216"/>
      <c r="G921" s="256">
        <f t="shared" si="68"/>
        <v>0</v>
      </c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2.75" customHeight="1">
      <c r="A922" s="128">
        <v>52.4</v>
      </c>
      <c r="B922" s="97" t="s">
        <v>233</v>
      </c>
      <c r="C922" s="97" t="s">
        <v>60</v>
      </c>
      <c r="D922" s="103" t="str">
        <f>'Composição de Custos '!D502</f>
        <v>RETIRADA DE CHAPA DE GRANITO DE BOX DE BANHEIRO COMO REAPROVEITAMENTO</v>
      </c>
      <c r="E922" s="125">
        <f>0.58*1.8+0.4*1.2</f>
        <v>1.524</v>
      </c>
      <c r="F922" s="615"/>
      <c r="G922" s="105">
        <f t="shared" si="68"/>
        <v>0</v>
      </c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2.75" customHeight="1">
      <c r="A923" s="128">
        <v>52.5</v>
      </c>
      <c r="B923" s="97" t="s">
        <v>395</v>
      </c>
      <c r="C923" s="124" t="s">
        <v>60</v>
      </c>
      <c r="D923" s="103" t="str">
        <f>'Composição de Custos '!D368</f>
        <v>DIVISÓRIA EM GRANITO, COM DUAS FACES POLIDAS, COR CINZA,  PARA INSTALAÇÃO EM BOXES DE BANHEIRO</v>
      </c>
      <c r="E923" s="190">
        <f>1.2*0.4</f>
        <v>0.48</v>
      </c>
      <c r="F923" s="615"/>
      <c r="G923" s="105">
        <f t="shared" si="68"/>
        <v>0</v>
      </c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2.75" customHeight="1">
      <c r="A924" s="128">
        <v>52.6</v>
      </c>
      <c r="B924" s="367" t="s">
        <v>402</v>
      </c>
      <c r="C924" s="367" t="s">
        <v>45</v>
      </c>
      <c r="D924" s="103" t="str">
        <f>'Composição de Custos '!D376</f>
        <v>INSTALAR DIVISORIA DE GRANITO ( REAPROVEITAMENTO)</v>
      </c>
      <c r="E924" s="190">
        <v>1</v>
      </c>
      <c r="F924" s="615"/>
      <c r="G924" s="105">
        <f t="shared" si="68"/>
        <v>0</v>
      </c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2.75" customHeight="1">
      <c r="A925" s="128">
        <v>52.7</v>
      </c>
      <c r="B925" s="367" t="s">
        <v>429</v>
      </c>
      <c r="C925" s="367" t="s">
        <v>45</v>
      </c>
      <c r="D925" s="103" t="str">
        <f>'Composição de Custos '!D513</f>
        <v>RETIRADA DE LOUÇAS SANITÁRIAS</v>
      </c>
      <c r="E925" s="190">
        <v>2</v>
      </c>
      <c r="F925" s="615"/>
      <c r="G925" s="105">
        <f t="shared" si="68"/>
        <v>0</v>
      </c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2.75" customHeight="1">
      <c r="A926" s="132">
        <v>52.8</v>
      </c>
      <c r="B926" s="133" t="str">
        <f>'Composição de Custos '!A575</f>
        <v>C058.1</v>
      </c>
      <c r="C926" s="133" t="s">
        <v>45</v>
      </c>
      <c r="D926" s="134" t="str">
        <f>'Composição de Custos '!D575</f>
        <v>ADEQUAÇÃO PONTO VALVULA MICTORIO  SEM SUBSTITUIÇÃO DE VALVULA</v>
      </c>
      <c r="E926" s="135">
        <v>1</v>
      </c>
      <c r="F926" s="615"/>
      <c r="G926" s="136">
        <f t="shared" si="68"/>
        <v>0</v>
      </c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30.75" customHeight="1">
      <c r="A927" s="128">
        <v>52.9</v>
      </c>
      <c r="B927" s="97" t="s">
        <v>184</v>
      </c>
      <c r="C927" s="97" t="s">
        <v>45</v>
      </c>
      <c r="D927" s="103" t="str">
        <f>'Composição de Custos '!D72</f>
        <v xml:space="preserve">BARRA DE APOIO EM TUBO DE AÇO INOXIDÁVEL OU ALUMÍNIO, COM 70 CM, DIAM. 30 À 45 MM, FIXAÇÃO VERTICAL OU HORIZONTAL  </v>
      </c>
      <c r="E927" s="125">
        <v>2</v>
      </c>
      <c r="F927" s="615"/>
      <c r="G927" s="105">
        <f t="shared" si="68"/>
        <v>0</v>
      </c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5.5" customHeight="1">
      <c r="A928" s="368">
        <v>52.1</v>
      </c>
      <c r="B928" s="236" t="str">
        <f>'Composição de Custos '!A258</f>
        <v>C021.5</v>
      </c>
      <c r="C928" s="144" t="s">
        <v>45</v>
      </c>
      <c r="D928" s="134" t="str">
        <f>'Composição de Custos '!D258</f>
        <v>INVERTER ABERTURA DA PORTA E INSTALAR PUXADOR HORIZONTAL E TARJETA LIVRE/OCUPADO</v>
      </c>
      <c r="E928" s="129">
        <v>1</v>
      </c>
      <c r="F928" s="615"/>
      <c r="G928" s="105">
        <f t="shared" si="68"/>
        <v>0</v>
      </c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5.5" customHeight="1">
      <c r="A929" s="128">
        <v>52.11</v>
      </c>
      <c r="B929" s="97" t="s">
        <v>202</v>
      </c>
      <c r="C929" s="124" t="s">
        <v>45</v>
      </c>
      <c r="D929" s="103" t="str">
        <f>'Composição de Custos '!D99</f>
        <v>TORNEIRA LAVATORIO PRESSMATIC,  VOLANTE TIPO ALAVANCA, PARA LAVATÓRIO DE P.N.E DOCOL OU SIMILAR</v>
      </c>
      <c r="E929" s="123">
        <v>1</v>
      </c>
      <c r="F929" s="615"/>
      <c r="G929" s="105">
        <f t="shared" si="68"/>
        <v>0</v>
      </c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38.25" customHeight="1">
      <c r="A930" s="128">
        <v>52.12</v>
      </c>
      <c r="B930" s="97" t="s">
        <v>386</v>
      </c>
      <c r="C930" s="124" t="s">
        <v>45</v>
      </c>
      <c r="D930" s="103" t="str">
        <f>'Composição de Custos '!D353</f>
        <v>READEQUAÇÃO DA ALTURA DE APARELHOS SANITÁRIOS   ATRAVÉS DA INSTALAÇÃO DE SÓCULO NA BASE PARA ADEQUAÇÃO DA NORMA DE ACESSIBILIDADE NBR 9050, ITEM 7.3.14</v>
      </c>
      <c r="E930" s="123">
        <v>1</v>
      </c>
      <c r="F930" s="615"/>
      <c r="G930" s="105">
        <f t="shared" si="68"/>
        <v>0</v>
      </c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30.75" customHeight="1">
      <c r="A931" s="128">
        <v>52.13</v>
      </c>
      <c r="B931" s="97" t="s">
        <v>184</v>
      </c>
      <c r="C931" s="97" t="s">
        <v>45</v>
      </c>
      <c r="D931" s="103" t="str">
        <f>'Composição de Custos '!D72</f>
        <v xml:space="preserve">BARRA DE APOIO EM TUBO DE AÇO INOXIDÁVEL OU ALUMÍNIO, COM 70 CM, DIAM. 30 À 45 MM, FIXAÇÃO VERTICAL OU HORIZONTAL  </v>
      </c>
      <c r="E931" s="125">
        <v>1</v>
      </c>
      <c r="F931" s="615"/>
      <c r="G931" s="105">
        <f t="shared" si="68"/>
        <v>0</v>
      </c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9.25" customHeight="1">
      <c r="A932" s="128">
        <v>52.14</v>
      </c>
      <c r="B932" s="97" t="s">
        <v>271</v>
      </c>
      <c r="C932" s="124" t="s">
        <v>45</v>
      </c>
      <c r="D932" s="103" t="str">
        <f>'Composição de Custos '!D179</f>
        <v>BARRA DE APOIO RETA, EM ACO INOX POLIDO, COMPRIMENTO 40CM, DIAMETRO MINIMO 3, FIXAÇÃO VERTICAL NA PAREDE</v>
      </c>
      <c r="E932" s="123">
        <v>2</v>
      </c>
      <c r="F932" s="615"/>
      <c r="G932" s="105">
        <f t="shared" si="68"/>
        <v>0</v>
      </c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5.5" customHeight="1">
      <c r="A933" s="128">
        <v>52.15</v>
      </c>
      <c r="B933" s="422" t="s">
        <v>257</v>
      </c>
      <c r="C933" s="124" t="s">
        <v>45</v>
      </c>
      <c r="D933" s="423" t="str">
        <f>'Composição de Custos '!D158</f>
        <v>BARRA DE APOIO HORIZONTAL, EM AÇO INOX PARA P.N.E L = 80CM (VASO SANITÁRIO) CONFORME NBR 9050</v>
      </c>
      <c r="E933" s="424">
        <v>2</v>
      </c>
      <c r="F933" s="615"/>
      <c r="G933" s="105">
        <f t="shared" si="68"/>
        <v>0</v>
      </c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3.5" customHeight="1">
      <c r="A934" s="128">
        <v>52.16</v>
      </c>
      <c r="B934" s="97">
        <v>85005</v>
      </c>
      <c r="C934" s="97" t="s">
        <v>60</v>
      </c>
      <c r="D934" s="103" t="s">
        <v>263</v>
      </c>
      <c r="E934" s="125">
        <f>0.9*0.57</f>
        <v>0.51300000000000001</v>
      </c>
      <c r="F934" s="615"/>
      <c r="G934" s="105">
        <f t="shared" si="68"/>
        <v>0</v>
      </c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3.5" customHeight="1">
      <c r="A935" s="128">
        <v>52.17</v>
      </c>
      <c r="B935" s="97" t="s">
        <v>218</v>
      </c>
      <c r="C935" s="124" t="s">
        <v>45</v>
      </c>
      <c r="D935" s="103" t="str">
        <f>'Composição de Custos '!D107</f>
        <v>TOALHEIRO PLASTICO TIPO DISPENSER PARA PAPEL TOALHA INTERFOLHADO</v>
      </c>
      <c r="E935" s="125">
        <v>1</v>
      </c>
      <c r="F935" s="615"/>
      <c r="G935" s="105">
        <f t="shared" si="68"/>
        <v>0</v>
      </c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4.75" customHeight="1">
      <c r="A936" s="128">
        <v>52.18</v>
      </c>
      <c r="B936" s="97" t="s">
        <v>220</v>
      </c>
      <c r="C936" s="97" t="s">
        <v>45</v>
      </c>
      <c r="D936" s="103" t="str">
        <f>'Composição de Custos '!D112</f>
        <v>SABONETEIRA PLASTICA TIPO DISPENSER PARA SABONETE LIQUIDO COM RESERVATORIO 800 A 1500 ML</v>
      </c>
      <c r="E936" s="125">
        <v>1</v>
      </c>
      <c r="F936" s="615"/>
      <c r="G936" s="105">
        <f t="shared" si="68"/>
        <v>0</v>
      </c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3.5" customHeight="1">
      <c r="A937" s="368">
        <v>52.19</v>
      </c>
      <c r="B937" s="97" t="s">
        <v>223</v>
      </c>
      <c r="C937" s="124" t="s">
        <v>45</v>
      </c>
      <c r="D937" s="103" t="str">
        <f>'Composição de Custos '!D117</f>
        <v>TOALHEIRO PLASTICO TIPO DISPENSER PARA PAPEL TOALHA INTERFOLHADO PARA BOX SANITÁRIO</v>
      </c>
      <c r="E937" s="190">
        <v>1</v>
      </c>
      <c r="F937" s="615"/>
      <c r="G937" s="105">
        <f t="shared" si="68"/>
        <v>0</v>
      </c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2.75" customHeight="1">
      <c r="A938" s="580">
        <v>52.2</v>
      </c>
      <c r="B938" s="97">
        <v>377</v>
      </c>
      <c r="C938" s="124" t="s">
        <v>45</v>
      </c>
      <c r="D938" s="213" t="s">
        <v>771</v>
      </c>
      <c r="E938" s="216">
        <v>1</v>
      </c>
      <c r="F938" s="615"/>
      <c r="G938" s="105">
        <f t="shared" si="68"/>
        <v>0</v>
      </c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2.75" customHeight="1">
      <c r="A939" s="128">
        <v>52.21</v>
      </c>
      <c r="B939" s="97">
        <v>72897</v>
      </c>
      <c r="C939" s="211" t="s">
        <v>82</v>
      </c>
      <c r="D939" s="213" t="s">
        <v>83</v>
      </c>
      <c r="E939" s="216">
        <v>1</v>
      </c>
      <c r="F939" s="615"/>
      <c r="G939" s="105">
        <f t="shared" si="68"/>
        <v>0</v>
      </c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2.75" customHeight="1">
      <c r="A940" s="132">
        <v>52.22</v>
      </c>
      <c r="B940" s="133">
        <f>B916</f>
        <v>99803</v>
      </c>
      <c r="C940" s="133" t="s">
        <v>82</v>
      </c>
      <c r="D940" s="134" t="str">
        <f>D916</f>
        <v xml:space="preserve">LIMPEZA DE PISO CERÂMICO OU PORCELANATO COM PANO ÚMIDO. AF_04/2019 </v>
      </c>
      <c r="E940" s="135">
        <v>25</v>
      </c>
      <c r="F940" s="615"/>
      <c r="G940" s="136">
        <f t="shared" si="68"/>
        <v>0</v>
      </c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3.5" customHeight="1">
      <c r="A941" s="185"/>
      <c r="B941" s="185"/>
      <c r="C941" s="623"/>
      <c r="D941" s="702" t="s">
        <v>84</v>
      </c>
      <c r="E941" s="703"/>
      <c r="F941" s="719"/>
      <c r="G941" s="230">
        <f>SUM(G919:G940)</f>
        <v>0</v>
      </c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2.75" customHeight="1">
      <c r="A942" s="626">
        <v>53</v>
      </c>
      <c r="B942" s="725" t="s">
        <v>775</v>
      </c>
      <c r="C942" s="682"/>
      <c r="D942" s="682"/>
      <c r="E942" s="682"/>
      <c r="F942" s="682"/>
      <c r="G942" s="683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5.5" customHeight="1">
      <c r="A943" s="128">
        <v>53.1</v>
      </c>
      <c r="B943" s="97" t="s">
        <v>278</v>
      </c>
      <c r="C943" s="97" t="s">
        <v>45</v>
      </c>
      <c r="D943" s="103" t="str">
        <f>'Composição de Custos '!D199</f>
        <v xml:space="preserve">RETIRADA E ASSENTAMENTO DE SOLEIRA EM GRANITO VERDE UBATUBA, TABEIRA, DEGRAUS E SOLEIRAS, ASSENTADO COM ARGAMASSA AC-III CONFORME PROJETO </v>
      </c>
      <c r="E943" s="129">
        <v>1</v>
      </c>
      <c r="F943" s="615"/>
      <c r="G943" s="105">
        <f t="shared" ref="G943:G964" si="69">F943*E943</f>
        <v>0</v>
      </c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5.5" customHeight="1">
      <c r="A944" s="128">
        <v>53.2</v>
      </c>
      <c r="B944" s="97">
        <v>97622</v>
      </c>
      <c r="C944" s="97" t="s">
        <v>82</v>
      </c>
      <c r="D944" s="103" t="s">
        <v>585</v>
      </c>
      <c r="E944" s="286">
        <v>3.15E-2</v>
      </c>
      <c r="F944" s="615"/>
      <c r="G944" s="256">
        <f t="shared" si="69"/>
        <v>0</v>
      </c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5.5" customHeight="1">
      <c r="A945" s="128">
        <v>53.3</v>
      </c>
      <c r="B945" s="97">
        <v>82274</v>
      </c>
      <c r="C945" s="97" t="s">
        <v>60</v>
      </c>
      <c r="D945" s="103" t="s">
        <v>290</v>
      </c>
      <c r="E945" s="197">
        <f>0.33*1.6</f>
        <v>0.52800000000000002</v>
      </c>
      <c r="F945" s="615"/>
      <c r="G945" s="627">
        <f t="shared" si="69"/>
        <v>0</v>
      </c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5.5" customHeight="1">
      <c r="A946" s="128">
        <v>53.4</v>
      </c>
      <c r="B946" s="97" t="s">
        <v>189</v>
      </c>
      <c r="C946" s="124" t="s">
        <v>45</v>
      </c>
      <c r="D946" s="103" t="str">
        <f>'Composição de Custos '!D79</f>
        <v>SUBSTITUIÇÃO DA PORTA SANITÁRIO ACESSÍVEL COM INSTALAÇÃO DE CHAPA ( 2 lados) E PUXADOR HORIZONTAL( COMPRIMENTO 45CM E DIAM. 3CM)  PORTA DE 90</v>
      </c>
      <c r="E946" s="216">
        <v>1</v>
      </c>
      <c r="F946" s="615"/>
      <c r="G946" s="256">
        <f t="shared" si="69"/>
        <v>0</v>
      </c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38.25" customHeight="1">
      <c r="A947" s="128">
        <v>53.5</v>
      </c>
      <c r="B947" s="97">
        <v>90830</v>
      </c>
      <c r="C947" s="124" t="s">
        <v>45</v>
      </c>
      <c r="D947" s="103" t="s">
        <v>295</v>
      </c>
      <c r="E947" s="190">
        <v>1</v>
      </c>
      <c r="F947" s="615"/>
      <c r="G947" s="105">
        <f t="shared" si="69"/>
        <v>0</v>
      </c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3.5" customHeight="1">
      <c r="A948" s="128">
        <v>53.6</v>
      </c>
      <c r="B948" s="133" t="s">
        <v>230</v>
      </c>
      <c r="C948" s="124" t="s">
        <v>45</v>
      </c>
      <c r="D948" s="213" t="str">
        <f>'Composição de Custos '!D279</f>
        <v>PLACA DE SINALIZAÇÃO EM BRAILLE E AUTORELEVO 20 X 40 - ACRILICO COM SIMBOLO INTERNACIONAL DE ACESSO CONFORME PROJETO</v>
      </c>
      <c r="E948" s="216">
        <v>1</v>
      </c>
      <c r="F948" s="216"/>
      <c r="G948" s="256">
        <f t="shared" si="69"/>
        <v>0</v>
      </c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5.5" customHeight="1">
      <c r="A949" s="128">
        <v>53.7</v>
      </c>
      <c r="B949" s="144" t="str">
        <f>'Composição de Custos '!A258</f>
        <v>C021.5</v>
      </c>
      <c r="C949" s="144" t="s">
        <v>45</v>
      </c>
      <c r="D949" s="103" t="str">
        <f>'Composição de Custos '!D258</f>
        <v>INVERTER ABERTURA DA PORTA E INSTALAR PUXADOR HORIZONTAL E TARJETA LIVRE/OCUPADO</v>
      </c>
      <c r="E949" s="129">
        <v>1</v>
      </c>
      <c r="F949" s="615"/>
      <c r="G949" s="105">
        <f t="shared" si="69"/>
        <v>0</v>
      </c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2.75" customHeight="1">
      <c r="A950" s="128">
        <v>53.8</v>
      </c>
      <c r="B950" s="367" t="s">
        <v>429</v>
      </c>
      <c r="C950" s="367" t="s">
        <v>45</v>
      </c>
      <c r="D950" s="103" t="str">
        <f>'Composição de Custos '!D513</f>
        <v>RETIRADA DE LOUÇAS SANITÁRIAS</v>
      </c>
      <c r="E950" s="190">
        <v>2</v>
      </c>
      <c r="F950" s="615"/>
      <c r="G950" s="105">
        <f t="shared" si="69"/>
        <v>0</v>
      </c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2.75" customHeight="1">
      <c r="A951" s="128">
        <v>53.9</v>
      </c>
      <c r="B951" s="133" t="s">
        <v>246</v>
      </c>
      <c r="C951" s="97" t="s">
        <v>45</v>
      </c>
      <c r="D951" s="261" t="str">
        <f>'Composição de Custos '!D319</f>
        <v>READEQUAÇÃO DE PONTO HIDRAULICO PARA VASO SANITÁRIO</v>
      </c>
      <c r="E951" s="257">
        <v>1</v>
      </c>
      <c r="F951" s="125"/>
      <c r="G951" s="105">
        <f t="shared" si="69"/>
        <v>0</v>
      </c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31.5" customHeight="1">
      <c r="A952" s="179">
        <v>53.1</v>
      </c>
      <c r="B952" s="133" t="s">
        <v>565</v>
      </c>
      <c r="C952" s="133" t="s">
        <v>45</v>
      </c>
      <c r="D952" s="134" t="str">
        <f>'Composição de Custos '!D957</f>
        <v>LAVATÓRIO LOUÇA BRANCA SUSPENSO, 29,5 X 39CM OU EQUIVALENTE, PADRÃO POPULAR - FORNECIMENTO E INSTALAÇÃO. AF_12/2013</v>
      </c>
      <c r="E952" s="168">
        <v>1</v>
      </c>
      <c r="F952" s="615"/>
      <c r="G952" s="136">
        <f t="shared" si="69"/>
        <v>0</v>
      </c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5.5" customHeight="1">
      <c r="A953" s="128">
        <v>53.11</v>
      </c>
      <c r="B953" s="97" t="s">
        <v>202</v>
      </c>
      <c r="C953" s="124" t="s">
        <v>45</v>
      </c>
      <c r="D953" s="103" t="str">
        <f>'Composição de Custos '!D99</f>
        <v>TORNEIRA LAVATORIO PRESSMATIC,  VOLANTE TIPO ALAVANCA, PARA LAVATÓRIO DE P.N.E DOCOL OU SIMILAR</v>
      </c>
      <c r="E953" s="123">
        <v>1</v>
      </c>
      <c r="F953" s="615"/>
      <c r="G953" s="105">
        <f t="shared" si="69"/>
        <v>0</v>
      </c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38.25" customHeight="1">
      <c r="A954" s="128">
        <v>53.12</v>
      </c>
      <c r="B954" s="133" t="s">
        <v>386</v>
      </c>
      <c r="C954" s="124" t="s">
        <v>45</v>
      </c>
      <c r="D954" s="103" t="str">
        <f>'Composição de Custos '!D353</f>
        <v>READEQUAÇÃO DA ALTURA DE APARELHOS SANITÁRIOS   ATRAVÉS DA INSTALAÇÃO DE SÓCULO NA BASE PARA ADEQUAÇÃO DA NORMA DE ACESSIBILIDADE NBR 9050, ITEM 7.3.14</v>
      </c>
      <c r="E954" s="123">
        <v>1</v>
      </c>
      <c r="F954" s="125"/>
      <c r="G954" s="105">
        <f t="shared" si="69"/>
        <v>0</v>
      </c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30.75" customHeight="1">
      <c r="A955" s="128">
        <v>53.13</v>
      </c>
      <c r="B955" s="97" t="s">
        <v>184</v>
      </c>
      <c r="C955" s="97" t="s">
        <v>45</v>
      </c>
      <c r="D955" s="103" t="str">
        <f>'Composição de Custos '!D72</f>
        <v xml:space="preserve">BARRA DE APOIO EM TUBO DE AÇO INOXIDÁVEL OU ALUMÍNIO, COM 70 CM, DIAM. 30 À 45 MM, FIXAÇÃO VERTICAL OU HORIZONTAL  </v>
      </c>
      <c r="E955" s="125">
        <v>1</v>
      </c>
      <c r="F955" s="615"/>
      <c r="G955" s="105">
        <f t="shared" si="69"/>
        <v>0</v>
      </c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9.25" customHeight="1">
      <c r="A956" s="128">
        <v>53.14</v>
      </c>
      <c r="B956" s="97" t="s">
        <v>271</v>
      </c>
      <c r="C956" s="124" t="s">
        <v>45</v>
      </c>
      <c r="D956" s="103" t="str">
        <f>'Composição de Custos '!D179</f>
        <v>BARRA DE APOIO RETA, EM ACO INOX POLIDO, COMPRIMENTO 40CM, DIAMETRO MINIMO 3, FIXAÇÃO VERTICAL NA PAREDE</v>
      </c>
      <c r="E956" s="123">
        <v>2</v>
      </c>
      <c r="F956" s="615"/>
      <c r="G956" s="105">
        <f t="shared" si="69"/>
        <v>0</v>
      </c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2.75" customHeight="1">
      <c r="A957" s="128">
        <v>53.15</v>
      </c>
      <c r="B957" s="422" t="s">
        <v>390</v>
      </c>
      <c r="C957" s="124" t="s">
        <v>45</v>
      </c>
      <c r="D957" s="423" t="str">
        <f>'Composição de Custos '!D362</f>
        <v>ADEQUAÇÃO DE ALTURA DE BARRAS DE APOIO EXISTENTES</v>
      </c>
      <c r="E957" s="424">
        <v>2</v>
      </c>
      <c r="F957" s="615"/>
      <c r="G957" s="105">
        <f t="shared" si="69"/>
        <v>0</v>
      </c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3.5" customHeight="1">
      <c r="A958" s="128">
        <v>53.16</v>
      </c>
      <c r="B958" s="97">
        <v>85005</v>
      </c>
      <c r="C958" s="97" t="s">
        <v>60</v>
      </c>
      <c r="D958" s="103" t="s">
        <v>263</v>
      </c>
      <c r="E958" s="125">
        <f>0.9*0.57</f>
        <v>0.51300000000000001</v>
      </c>
      <c r="F958" s="615"/>
      <c r="G958" s="105">
        <f t="shared" si="69"/>
        <v>0</v>
      </c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3.5" customHeight="1">
      <c r="A959" s="128">
        <v>53.17</v>
      </c>
      <c r="B959" s="97" t="s">
        <v>218</v>
      </c>
      <c r="C959" s="124" t="s">
        <v>45</v>
      </c>
      <c r="D959" s="103" t="str">
        <f>'Composição de Custos '!D107</f>
        <v>TOALHEIRO PLASTICO TIPO DISPENSER PARA PAPEL TOALHA INTERFOLHADO</v>
      </c>
      <c r="E959" s="125">
        <v>1</v>
      </c>
      <c r="F959" s="615"/>
      <c r="G959" s="105">
        <f t="shared" si="69"/>
        <v>0</v>
      </c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4.75" customHeight="1">
      <c r="A960" s="128">
        <v>53.18</v>
      </c>
      <c r="B960" s="97" t="s">
        <v>220</v>
      </c>
      <c r="C960" s="97" t="s">
        <v>45</v>
      </c>
      <c r="D960" s="103" t="str">
        <f>'Composição de Custos '!D112</f>
        <v>SABONETEIRA PLASTICA TIPO DISPENSER PARA SABONETE LIQUIDO COM RESERVATORIO 800 A 1500 ML</v>
      </c>
      <c r="E960" s="125">
        <v>1</v>
      </c>
      <c r="F960" s="615"/>
      <c r="G960" s="105">
        <f t="shared" si="69"/>
        <v>0</v>
      </c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3.5" customHeight="1">
      <c r="A961" s="128">
        <v>53.19</v>
      </c>
      <c r="B961" s="97" t="s">
        <v>223</v>
      </c>
      <c r="C961" s="124" t="s">
        <v>45</v>
      </c>
      <c r="D961" s="103" t="str">
        <f>'Composição de Custos '!D117</f>
        <v>TOALHEIRO PLASTICO TIPO DISPENSER PARA PAPEL TOALHA INTERFOLHADO PARA BOX SANITÁRIO</v>
      </c>
      <c r="E961" s="190">
        <v>1</v>
      </c>
      <c r="F961" s="615"/>
      <c r="G961" s="105">
        <f t="shared" si="69"/>
        <v>0</v>
      </c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2.75" customHeight="1">
      <c r="A962" s="368">
        <v>53.2</v>
      </c>
      <c r="B962" s="97">
        <v>377</v>
      </c>
      <c r="C962" s="124" t="s">
        <v>45</v>
      </c>
      <c r="D962" s="213" t="s">
        <v>771</v>
      </c>
      <c r="E962" s="216">
        <v>1</v>
      </c>
      <c r="F962" s="615"/>
      <c r="G962" s="105">
        <f t="shared" si="69"/>
        <v>0</v>
      </c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2.75" customHeight="1">
      <c r="A963" s="128">
        <v>53.21</v>
      </c>
      <c r="B963" s="97">
        <v>72897</v>
      </c>
      <c r="C963" s="211" t="s">
        <v>82</v>
      </c>
      <c r="D963" s="213" t="s">
        <v>83</v>
      </c>
      <c r="E963" s="216">
        <v>1</v>
      </c>
      <c r="F963" s="615"/>
      <c r="G963" s="105">
        <f t="shared" si="69"/>
        <v>0</v>
      </c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2.75" customHeight="1">
      <c r="A964" s="132">
        <v>53.22</v>
      </c>
      <c r="B964" s="133">
        <f>B992</f>
        <v>99803</v>
      </c>
      <c r="C964" s="133" t="s">
        <v>82</v>
      </c>
      <c r="D964" s="134" t="s">
        <v>186</v>
      </c>
      <c r="E964" s="135">
        <v>25</v>
      </c>
      <c r="F964" s="135"/>
      <c r="G964" s="136">
        <f t="shared" si="69"/>
        <v>0</v>
      </c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3.5" customHeight="1">
      <c r="A965" s="185"/>
      <c r="B965" s="185"/>
      <c r="C965" s="623"/>
      <c r="D965" s="702" t="s">
        <v>84</v>
      </c>
      <c r="E965" s="703"/>
      <c r="F965" s="719"/>
      <c r="G965" s="230">
        <f>SUM(G943:G964)</f>
        <v>0</v>
      </c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2.75" customHeight="1">
      <c r="A966" s="95">
        <v>54</v>
      </c>
      <c r="B966" s="696" t="s">
        <v>776</v>
      </c>
      <c r="C966" s="682"/>
      <c r="D966" s="682"/>
      <c r="E966" s="682"/>
      <c r="F966" s="682"/>
      <c r="G966" s="683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5.5" customHeight="1">
      <c r="A967" s="128">
        <v>54.1</v>
      </c>
      <c r="B967" s="97" t="str">
        <f>'Composição de Custos '!A258</f>
        <v>C021.5</v>
      </c>
      <c r="C967" s="97" t="s">
        <v>45</v>
      </c>
      <c r="D967" s="103" t="str">
        <f>'Composição de Custos '!D258</f>
        <v>INVERTER ABERTURA DA PORTA E INSTALAR PUXADOR HORIZONTAL E TARJETA LIVRE/OCUPADO</v>
      </c>
      <c r="E967" s="129">
        <v>1</v>
      </c>
      <c r="F967" s="615"/>
      <c r="G967" s="105">
        <f t="shared" ref="G967:G968" si="70">F967*E967</f>
        <v>0</v>
      </c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5.5" customHeight="1">
      <c r="A968" s="128">
        <v>54.2</v>
      </c>
      <c r="B968" s="97" t="s">
        <v>278</v>
      </c>
      <c r="C968" s="97" t="s">
        <v>45</v>
      </c>
      <c r="D968" s="103" t="str">
        <f>'Composição de Custos '!D199</f>
        <v xml:space="preserve">RETIRADA E ASSENTAMENTO DE SOLEIRA EM GRANITO VERDE UBATUBA, TABEIRA, DEGRAUS E SOLEIRAS, ASSENTADO COM ARGAMASSA AC-III CONFORME PROJETO </v>
      </c>
      <c r="E968" s="129">
        <v>1</v>
      </c>
      <c r="F968" s="615"/>
      <c r="G968" s="105">
        <f t="shared" si="70"/>
        <v>0</v>
      </c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5.5" customHeight="1">
      <c r="A969" s="128">
        <v>54.3</v>
      </c>
      <c r="B969" s="192">
        <v>97622</v>
      </c>
      <c r="C969" s="628" t="s">
        <v>82</v>
      </c>
      <c r="D969" s="629" t="s">
        <v>585</v>
      </c>
      <c r="E969" s="630">
        <f>0.1*2.1*0.15</f>
        <v>3.15E-2</v>
      </c>
      <c r="F969" s="615"/>
      <c r="G969" s="627">
        <f>E969*F969</f>
        <v>0</v>
      </c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5.5" customHeight="1">
      <c r="A970" s="128">
        <v>54.4</v>
      </c>
      <c r="B970" s="192">
        <v>87274</v>
      </c>
      <c r="C970" s="628" t="s">
        <v>60</v>
      </c>
      <c r="D970" s="629" t="s">
        <v>290</v>
      </c>
      <c r="E970" s="630">
        <f>0.33*1.6</f>
        <v>0.52800000000000002</v>
      </c>
      <c r="F970" s="615"/>
      <c r="G970" s="627">
        <f t="shared" ref="G970:G992" si="71">F970*E970</f>
        <v>0</v>
      </c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5.5" customHeight="1">
      <c r="A971" s="128">
        <v>54.5</v>
      </c>
      <c r="B971" s="97" t="s">
        <v>189</v>
      </c>
      <c r="C971" s="124" t="s">
        <v>45</v>
      </c>
      <c r="D971" s="103" t="str">
        <f>'Composição de Custos '!D79</f>
        <v>SUBSTITUIÇÃO DA PORTA SANITÁRIO ACESSÍVEL COM INSTALAÇÃO DE CHAPA ( 2 lados) E PUXADOR HORIZONTAL( COMPRIMENTO 45CM E DIAM. 3CM)  PORTA DE 90</v>
      </c>
      <c r="E971" s="216">
        <v>1</v>
      </c>
      <c r="F971" s="615"/>
      <c r="G971" s="256">
        <f t="shared" si="71"/>
        <v>0</v>
      </c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38.25" customHeight="1">
      <c r="A972" s="128">
        <v>54.6</v>
      </c>
      <c r="B972" s="97">
        <v>90830</v>
      </c>
      <c r="C972" s="631" t="s">
        <v>45</v>
      </c>
      <c r="D972" s="103" t="s">
        <v>295</v>
      </c>
      <c r="E972" s="190">
        <v>1</v>
      </c>
      <c r="F972" s="615"/>
      <c r="G972" s="105">
        <f t="shared" si="71"/>
        <v>0</v>
      </c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3.5" customHeight="1">
      <c r="A973" s="128">
        <v>54.7</v>
      </c>
      <c r="B973" s="133" t="s">
        <v>230</v>
      </c>
      <c r="C973" s="124" t="s">
        <v>45</v>
      </c>
      <c r="D973" s="213" t="str">
        <f>'Composição de Custos '!D279</f>
        <v>PLACA DE SINALIZAÇÃO EM BRAILLE E AUTORELEVO 20 X 40 - ACRILICO COM SIMBOLO INTERNACIONAL DE ACESSO CONFORME PROJETO</v>
      </c>
      <c r="E973" s="216">
        <v>1</v>
      </c>
      <c r="F973" s="216"/>
      <c r="G973" s="256">
        <f t="shared" si="71"/>
        <v>0</v>
      </c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2.75" customHeight="1">
      <c r="A974" s="128">
        <v>54.8</v>
      </c>
      <c r="B974" s="97" t="s">
        <v>233</v>
      </c>
      <c r="C974" s="97" t="s">
        <v>60</v>
      </c>
      <c r="D974" s="103" t="str">
        <f>'Composição de Custos '!D502</f>
        <v>RETIRADA DE CHAPA DE GRANITO DE BOX DE BANHEIRO COMO REAPROVEITAMENTO</v>
      </c>
      <c r="E974" s="125">
        <f>(0.3*0.7*2)+0.25</f>
        <v>0.66999999999999993</v>
      </c>
      <c r="F974" s="615"/>
      <c r="G974" s="105">
        <f t="shared" si="71"/>
        <v>0</v>
      </c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2.75" customHeight="1">
      <c r="A975" s="128">
        <v>54.9</v>
      </c>
      <c r="B975" s="97" t="s">
        <v>395</v>
      </c>
      <c r="C975" s="124" t="s">
        <v>60</v>
      </c>
      <c r="D975" s="103" t="str">
        <f>'Composição de Custos '!D368</f>
        <v>DIVISÓRIA EM GRANITO, COM DUAS FACES POLIDAS, COR CINZA,  PARA INSTALAÇÃO EM BOXES DE BANHEIRO</v>
      </c>
      <c r="E975" s="190">
        <f>0.4*0.8*2</f>
        <v>0.64000000000000012</v>
      </c>
      <c r="F975" s="615"/>
      <c r="G975" s="105">
        <f t="shared" si="71"/>
        <v>0</v>
      </c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2.75" customHeight="1">
      <c r="A976" s="368">
        <v>54.1</v>
      </c>
      <c r="B976" s="632" t="s">
        <v>429</v>
      </c>
      <c r="C976" s="367" t="s">
        <v>45</v>
      </c>
      <c r="D976" s="103" t="str">
        <f>'Composição de Custos '!D513</f>
        <v>RETIRADA DE LOUÇAS SANITÁRIAS</v>
      </c>
      <c r="E976" s="190">
        <v>2</v>
      </c>
      <c r="F976" s="615"/>
      <c r="G976" s="105">
        <f t="shared" si="71"/>
        <v>0</v>
      </c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2.75" customHeight="1">
      <c r="A977" s="128">
        <v>54.11</v>
      </c>
      <c r="B977" s="133" t="str">
        <f>'Composição de Custos '!A575</f>
        <v>C058.1</v>
      </c>
      <c r="C977" s="97" t="s">
        <v>45</v>
      </c>
      <c r="D977" s="261" t="str">
        <f>'Composição de Custos '!D575</f>
        <v>ADEQUAÇÃO PONTO VALVULA MICTORIO  SEM SUBSTITUIÇÃO DE VALVULA</v>
      </c>
      <c r="E977" s="257">
        <v>1</v>
      </c>
      <c r="F977" s="125"/>
      <c r="G977" s="105">
        <f t="shared" si="71"/>
        <v>0</v>
      </c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30.75" customHeight="1">
      <c r="A978" s="128">
        <v>54.12</v>
      </c>
      <c r="B978" s="97" t="s">
        <v>184</v>
      </c>
      <c r="C978" s="97" t="s">
        <v>45</v>
      </c>
      <c r="D978" s="103" t="str">
        <f>'Composição de Custos '!D72</f>
        <v xml:space="preserve">BARRA DE APOIO EM TUBO DE AÇO INOXIDÁVEL OU ALUMÍNIO, COM 70 CM, DIAM. 30 À 45 MM, FIXAÇÃO VERTICAL OU HORIZONTAL  </v>
      </c>
      <c r="E978" s="125">
        <v>3</v>
      </c>
      <c r="F978" s="615"/>
      <c r="G978" s="105">
        <f t="shared" si="71"/>
        <v>0</v>
      </c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5.5" customHeight="1">
      <c r="A979" s="128">
        <v>54.13</v>
      </c>
      <c r="B979" s="144" t="str">
        <f>'Composição de Custos '!A258</f>
        <v>C021.5</v>
      </c>
      <c r="C979" s="144" t="s">
        <v>45</v>
      </c>
      <c r="D979" s="103" t="str">
        <f>'Composição de Custos '!D258</f>
        <v>INVERTER ABERTURA DA PORTA E INSTALAR PUXADOR HORIZONTAL E TARJETA LIVRE/OCUPADO</v>
      </c>
      <c r="E979" s="129">
        <v>1</v>
      </c>
      <c r="F979" s="615"/>
      <c r="G979" s="105">
        <f t="shared" si="71"/>
        <v>0</v>
      </c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34.5" customHeight="1">
      <c r="A980" s="132">
        <v>54.14</v>
      </c>
      <c r="B980" s="133" t="s">
        <v>565</v>
      </c>
      <c r="C980" s="133" t="s">
        <v>45</v>
      </c>
      <c r="D980" s="134" t="str">
        <f>'Composição de Custos '!D957</f>
        <v>LAVATÓRIO LOUÇA BRANCA SUSPENSO, 29,5 X 39CM OU EQUIVALENTE, PADRÃO POPULAR - FORNECIMENTO E INSTALAÇÃO. AF_12/2013</v>
      </c>
      <c r="E980" s="168">
        <v>1</v>
      </c>
      <c r="F980" s="615"/>
      <c r="G980" s="136">
        <f t="shared" si="71"/>
        <v>0</v>
      </c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5.5" customHeight="1">
      <c r="A981" s="128">
        <v>54.15</v>
      </c>
      <c r="B981" s="97" t="s">
        <v>202</v>
      </c>
      <c r="C981" s="124" t="s">
        <v>45</v>
      </c>
      <c r="D981" s="103" t="str">
        <f>'Composição de Custos '!D99</f>
        <v>TORNEIRA LAVATORIO PRESSMATIC,  VOLANTE TIPO ALAVANCA, PARA LAVATÓRIO DE P.N.E DOCOL OU SIMILAR</v>
      </c>
      <c r="E981" s="123">
        <v>1</v>
      </c>
      <c r="F981" s="615"/>
      <c r="G981" s="105">
        <f t="shared" si="71"/>
        <v>0</v>
      </c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38.25" customHeight="1">
      <c r="A982" s="128">
        <v>54.16</v>
      </c>
      <c r="B982" s="133" t="s">
        <v>386</v>
      </c>
      <c r="C982" s="124" t="s">
        <v>45</v>
      </c>
      <c r="D982" s="103" t="str">
        <f>'Composição de Custos '!D353</f>
        <v>READEQUAÇÃO DA ALTURA DE APARELHOS SANITÁRIOS   ATRAVÉS DA INSTALAÇÃO DE SÓCULO NA BASE PARA ADEQUAÇÃO DA NORMA DE ACESSIBILIDADE NBR 9050, ITEM 7.3.14</v>
      </c>
      <c r="E982" s="123">
        <v>1</v>
      </c>
      <c r="F982" s="615"/>
      <c r="G982" s="105">
        <f t="shared" si="71"/>
        <v>0</v>
      </c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30.75" customHeight="1">
      <c r="A983" s="128">
        <v>54.17</v>
      </c>
      <c r="B983" s="97" t="s">
        <v>184</v>
      </c>
      <c r="C983" s="97" t="s">
        <v>45</v>
      </c>
      <c r="D983" s="103" t="str">
        <f>'Composição de Custos '!D72</f>
        <v xml:space="preserve">BARRA DE APOIO EM TUBO DE AÇO INOXIDÁVEL OU ALUMÍNIO, COM 70 CM, DIAM. 30 À 45 MM, FIXAÇÃO VERTICAL OU HORIZONTAL  </v>
      </c>
      <c r="E983" s="125">
        <v>1</v>
      </c>
      <c r="F983" s="615"/>
      <c r="G983" s="105">
        <f t="shared" si="71"/>
        <v>0</v>
      </c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9.25" customHeight="1">
      <c r="A984" s="128">
        <v>54.18</v>
      </c>
      <c r="B984" s="97" t="s">
        <v>271</v>
      </c>
      <c r="C984" s="124" t="s">
        <v>45</v>
      </c>
      <c r="D984" s="103" t="str">
        <f>'Composição de Custos '!D179</f>
        <v>BARRA DE APOIO RETA, EM ACO INOX POLIDO, COMPRIMENTO 40CM, DIAMETRO MINIMO 3, FIXAÇÃO VERTICAL NA PAREDE</v>
      </c>
      <c r="E984" s="123">
        <v>2</v>
      </c>
      <c r="F984" s="615"/>
      <c r="G984" s="105">
        <f t="shared" si="71"/>
        <v>0</v>
      </c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2.75" customHeight="1">
      <c r="A985" s="128">
        <v>54.19</v>
      </c>
      <c r="B985" s="422" t="s">
        <v>390</v>
      </c>
      <c r="C985" s="124" t="s">
        <v>45</v>
      </c>
      <c r="D985" s="423" t="str">
        <f>'Composição de Custos '!D362</f>
        <v>ADEQUAÇÃO DE ALTURA DE BARRAS DE APOIO EXISTENTES</v>
      </c>
      <c r="E985" s="424">
        <v>2</v>
      </c>
      <c r="F985" s="615"/>
      <c r="G985" s="105">
        <f t="shared" si="71"/>
        <v>0</v>
      </c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3.5" customHeight="1">
      <c r="A986" s="368">
        <v>54.2</v>
      </c>
      <c r="B986" s="97">
        <v>85005</v>
      </c>
      <c r="C986" s="97" t="s">
        <v>60</v>
      </c>
      <c r="D986" s="103" t="s">
        <v>263</v>
      </c>
      <c r="E986" s="125">
        <f>0.9*0.57</f>
        <v>0.51300000000000001</v>
      </c>
      <c r="F986" s="615"/>
      <c r="G986" s="105">
        <f t="shared" si="71"/>
        <v>0</v>
      </c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3.5" customHeight="1">
      <c r="A987" s="128">
        <v>54.21</v>
      </c>
      <c r="B987" s="97" t="s">
        <v>218</v>
      </c>
      <c r="C987" s="124" t="s">
        <v>45</v>
      </c>
      <c r="D987" s="103" t="str">
        <f>'Composição de Custos '!D107</f>
        <v>TOALHEIRO PLASTICO TIPO DISPENSER PARA PAPEL TOALHA INTERFOLHADO</v>
      </c>
      <c r="E987" s="125">
        <v>1</v>
      </c>
      <c r="F987" s="615"/>
      <c r="G987" s="105">
        <f t="shared" si="71"/>
        <v>0</v>
      </c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4.75" customHeight="1">
      <c r="A988" s="128">
        <v>54.22</v>
      </c>
      <c r="B988" s="97" t="s">
        <v>220</v>
      </c>
      <c r="C988" s="97" t="s">
        <v>45</v>
      </c>
      <c r="D988" s="103" t="str">
        <f>'Composição de Custos '!D112</f>
        <v>SABONETEIRA PLASTICA TIPO DISPENSER PARA SABONETE LIQUIDO COM RESERVATORIO 800 A 1500 ML</v>
      </c>
      <c r="E988" s="125">
        <v>1</v>
      </c>
      <c r="F988" s="615"/>
      <c r="G988" s="105">
        <f t="shared" si="71"/>
        <v>0</v>
      </c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3.5" customHeight="1">
      <c r="A989" s="128">
        <v>54.23</v>
      </c>
      <c r="B989" s="97" t="s">
        <v>223</v>
      </c>
      <c r="C989" s="124" t="s">
        <v>45</v>
      </c>
      <c r="D989" s="103" t="str">
        <f>'Composição de Custos '!D117</f>
        <v>TOALHEIRO PLASTICO TIPO DISPENSER PARA PAPEL TOALHA INTERFOLHADO PARA BOX SANITÁRIO</v>
      </c>
      <c r="E989" s="190">
        <v>1</v>
      </c>
      <c r="F989" s="615"/>
      <c r="G989" s="105">
        <f t="shared" si="71"/>
        <v>0</v>
      </c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2.75" customHeight="1">
      <c r="A990" s="128">
        <v>54.24</v>
      </c>
      <c r="B990" s="97">
        <v>377</v>
      </c>
      <c r="C990" s="124" t="s">
        <v>45</v>
      </c>
      <c r="D990" s="213" t="s">
        <v>771</v>
      </c>
      <c r="E990" s="216">
        <v>1</v>
      </c>
      <c r="F990" s="615"/>
      <c r="G990" s="105">
        <f t="shared" si="71"/>
        <v>0</v>
      </c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2.75" customHeight="1">
      <c r="A991" s="128">
        <v>54.25</v>
      </c>
      <c r="B991" s="97">
        <v>72897</v>
      </c>
      <c r="C991" s="211" t="s">
        <v>82</v>
      </c>
      <c r="D991" s="213" t="s">
        <v>83</v>
      </c>
      <c r="E991" s="216">
        <v>1</v>
      </c>
      <c r="F991" s="615"/>
      <c r="G991" s="105">
        <f t="shared" si="71"/>
        <v>0</v>
      </c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2.75" customHeight="1">
      <c r="A992" s="132">
        <v>54.26</v>
      </c>
      <c r="B992" s="133">
        <v>99803</v>
      </c>
      <c r="C992" s="133" t="s">
        <v>82</v>
      </c>
      <c r="D992" s="213" t="s">
        <v>186</v>
      </c>
      <c r="E992" s="135">
        <v>25</v>
      </c>
      <c r="F992" s="615"/>
      <c r="G992" s="136">
        <f t="shared" si="71"/>
        <v>0</v>
      </c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3.5" customHeight="1">
      <c r="A993" s="185"/>
      <c r="B993" s="185"/>
      <c r="C993" s="623"/>
      <c r="D993" s="702" t="s">
        <v>84</v>
      </c>
      <c r="E993" s="703"/>
      <c r="F993" s="719"/>
      <c r="G993" s="230">
        <f>SUM(G967:G992)</f>
        <v>0</v>
      </c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2.75" customHeight="1">
      <c r="A994" s="95">
        <v>55</v>
      </c>
      <c r="B994" s="696" t="s">
        <v>777</v>
      </c>
      <c r="C994" s="682"/>
      <c r="D994" s="682"/>
      <c r="E994" s="682"/>
      <c r="F994" s="682"/>
      <c r="G994" s="683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5.5" customHeight="1">
      <c r="A995" s="132">
        <v>55.1</v>
      </c>
      <c r="B995" s="133" t="str">
        <f>'Composição de Custos '!A90</f>
        <v>C007.1</v>
      </c>
      <c r="C995" s="133" t="s">
        <v>45</v>
      </c>
      <c r="D995" s="134" t="str">
        <f>'Composição de Custos '!D90</f>
        <v xml:space="preserve">INSTALAÇÃO DE CHAPA (2 lados) E PUXADOR HORIZONTAL( COMPRIMENTO 40CM E DIAM. 3CM) </v>
      </c>
      <c r="E995" s="633">
        <v>1</v>
      </c>
      <c r="F995" s="615"/>
      <c r="G995" s="197">
        <f t="shared" ref="G995:G1011" si="72">F995*E995</f>
        <v>0</v>
      </c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38.25" customHeight="1">
      <c r="A996" s="128">
        <v>55.2</v>
      </c>
      <c r="B996" s="97">
        <v>90830</v>
      </c>
      <c r="C996" s="190" t="s">
        <v>45</v>
      </c>
      <c r="D996" s="103" t="s">
        <v>295</v>
      </c>
      <c r="E996" s="190">
        <v>1</v>
      </c>
      <c r="F996" s="615"/>
      <c r="G996" s="105">
        <f t="shared" si="72"/>
        <v>0</v>
      </c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3.5" customHeight="1">
      <c r="A997" s="128">
        <v>55.3</v>
      </c>
      <c r="B997" s="133" t="s">
        <v>230</v>
      </c>
      <c r="C997" s="124" t="s">
        <v>45</v>
      </c>
      <c r="D997" s="213" t="str">
        <f>'Composição de Custos '!D279</f>
        <v>PLACA DE SINALIZAÇÃO EM BRAILLE E AUTORELEVO 20 X 40 - ACRILICO COM SIMBOLO INTERNACIONAL DE ACESSO CONFORME PROJETO</v>
      </c>
      <c r="E997" s="216">
        <v>1</v>
      </c>
      <c r="F997" s="615"/>
      <c r="G997" s="256">
        <f t="shared" si="72"/>
        <v>0</v>
      </c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2.75" customHeight="1">
      <c r="A998" s="128">
        <v>55.4</v>
      </c>
      <c r="B998" s="367" t="s">
        <v>429</v>
      </c>
      <c r="C998" s="367" t="s">
        <v>45</v>
      </c>
      <c r="D998" s="103" t="str">
        <f>'Composição de Custos '!D513</f>
        <v>RETIRADA DE LOUÇAS SANITÁRIAS</v>
      </c>
      <c r="E998" s="190">
        <v>2</v>
      </c>
      <c r="F998" s="615"/>
      <c r="G998" s="105">
        <f t="shared" si="72"/>
        <v>0</v>
      </c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2.75" customHeight="1">
      <c r="A999" s="128">
        <v>55.5</v>
      </c>
      <c r="B999" s="97" t="s">
        <v>246</v>
      </c>
      <c r="C999" s="97" t="s">
        <v>45</v>
      </c>
      <c r="D999" s="261" t="str">
        <f>'Composição de Custos '!D319</f>
        <v>READEQUAÇÃO DE PONTO HIDRAULICO PARA VASO SANITÁRIO</v>
      </c>
      <c r="E999" s="257">
        <v>1</v>
      </c>
      <c r="F999" s="615"/>
      <c r="G999" s="105">
        <f t="shared" si="72"/>
        <v>0</v>
      </c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5.5" customHeight="1">
      <c r="A1000" s="128">
        <v>55.6</v>
      </c>
      <c r="B1000" s="97" t="s">
        <v>202</v>
      </c>
      <c r="C1000" s="124" t="s">
        <v>45</v>
      </c>
      <c r="D1000" s="103" t="str">
        <f>'Composição de Custos '!D99</f>
        <v>TORNEIRA LAVATORIO PRESSMATIC,  VOLANTE TIPO ALAVANCA, PARA LAVATÓRIO DE P.N.E DOCOL OU SIMILAR</v>
      </c>
      <c r="E1000" s="123">
        <v>1</v>
      </c>
      <c r="F1000" s="615"/>
      <c r="G1000" s="105">
        <f t="shared" si="72"/>
        <v>0</v>
      </c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38.25" customHeight="1">
      <c r="A1001" s="128">
        <v>55.7</v>
      </c>
      <c r="B1001" s="133" t="s">
        <v>386</v>
      </c>
      <c r="C1001" s="124" t="s">
        <v>45</v>
      </c>
      <c r="D1001" s="103" t="str">
        <f>'Composição de Custos '!D353</f>
        <v>READEQUAÇÃO DA ALTURA DE APARELHOS SANITÁRIOS   ATRAVÉS DA INSTALAÇÃO DE SÓCULO NA BASE PARA ADEQUAÇÃO DA NORMA DE ACESSIBILIDADE NBR 9050, ITEM 7.3.14</v>
      </c>
      <c r="E1001" s="123">
        <v>1</v>
      </c>
      <c r="F1001" s="615"/>
      <c r="G1001" s="105">
        <f t="shared" si="72"/>
        <v>0</v>
      </c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30.75" customHeight="1">
      <c r="A1002" s="128">
        <v>55.8</v>
      </c>
      <c r="B1002" s="97" t="s">
        <v>184</v>
      </c>
      <c r="C1002" s="97" t="s">
        <v>45</v>
      </c>
      <c r="D1002" s="103" t="str">
        <f>'Composição de Custos '!D72</f>
        <v xml:space="preserve">BARRA DE APOIO EM TUBO DE AÇO INOXIDÁVEL OU ALUMÍNIO, COM 70 CM, DIAM. 30 À 45 MM, FIXAÇÃO VERTICAL OU HORIZONTAL  </v>
      </c>
      <c r="E1002" s="125">
        <v>1</v>
      </c>
      <c r="F1002" s="615"/>
      <c r="G1002" s="105">
        <f t="shared" si="72"/>
        <v>0</v>
      </c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29.25" customHeight="1">
      <c r="A1003" s="128">
        <v>55.9</v>
      </c>
      <c r="B1003" s="97" t="s">
        <v>271</v>
      </c>
      <c r="C1003" s="124" t="s">
        <v>45</v>
      </c>
      <c r="D1003" s="103" t="str">
        <f>'Composição de Custos '!D179</f>
        <v>BARRA DE APOIO RETA, EM ACO INOX POLIDO, COMPRIMENTO 40CM, DIAMETRO MINIMO 3, FIXAÇÃO VERTICAL NA PAREDE</v>
      </c>
      <c r="E1003" s="123">
        <v>2</v>
      </c>
      <c r="F1003" s="615"/>
      <c r="G1003" s="105">
        <f t="shared" si="72"/>
        <v>0</v>
      </c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25.5" customHeight="1">
      <c r="A1004" s="580">
        <v>55.1</v>
      </c>
      <c r="B1004" s="422" t="s">
        <v>257</v>
      </c>
      <c r="C1004" s="124" t="s">
        <v>45</v>
      </c>
      <c r="D1004" s="423" t="str">
        <f>'Composição de Custos '!D158</f>
        <v>BARRA DE APOIO HORIZONTAL, EM AÇO INOX PARA P.N.E L = 80CM (VASO SANITÁRIO) CONFORME NBR 9050</v>
      </c>
      <c r="E1004" s="424">
        <v>2</v>
      </c>
      <c r="F1004" s="615"/>
      <c r="G1004" s="105">
        <f t="shared" si="72"/>
        <v>0</v>
      </c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3.5" customHeight="1">
      <c r="A1005" s="128">
        <v>55.11</v>
      </c>
      <c r="B1005" s="97">
        <v>85005</v>
      </c>
      <c r="C1005" s="97" t="s">
        <v>60</v>
      </c>
      <c r="D1005" s="103" t="s">
        <v>263</v>
      </c>
      <c r="E1005" s="125">
        <f>0.9*0.57</f>
        <v>0.51300000000000001</v>
      </c>
      <c r="F1005" s="615"/>
      <c r="G1005" s="105">
        <f t="shared" si="72"/>
        <v>0</v>
      </c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3.5" customHeight="1">
      <c r="A1006" s="128">
        <v>55.12</v>
      </c>
      <c r="B1006" s="97" t="s">
        <v>218</v>
      </c>
      <c r="C1006" s="124" t="s">
        <v>45</v>
      </c>
      <c r="D1006" s="103" t="str">
        <f>'Composição de Custos '!D107</f>
        <v>TOALHEIRO PLASTICO TIPO DISPENSER PARA PAPEL TOALHA INTERFOLHADO</v>
      </c>
      <c r="E1006" s="125">
        <v>1</v>
      </c>
      <c r="F1006" s="615"/>
      <c r="G1006" s="105">
        <f t="shared" si="72"/>
        <v>0</v>
      </c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24.75" customHeight="1">
      <c r="A1007" s="128">
        <v>55.13</v>
      </c>
      <c r="B1007" s="97" t="s">
        <v>220</v>
      </c>
      <c r="C1007" s="97" t="s">
        <v>45</v>
      </c>
      <c r="D1007" s="103" t="str">
        <f>'Composição de Custos '!D112</f>
        <v>SABONETEIRA PLASTICA TIPO DISPENSER PARA SABONETE LIQUIDO COM RESERVATORIO 800 A 1500 ML</v>
      </c>
      <c r="E1007" s="125">
        <v>1</v>
      </c>
      <c r="F1007" s="615"/>
      <c r="G1007" s="105">
        <f t="shared" si="72"/>
        <v>0</v>
      </c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spans="1:26" ht="13.5" customHeight="1">
      <c r="A1008" s="128">
        <v>55.14</v>
      </c>
      <c r="B1008" s="97" t="s">
        <v>223</v>
      </c>
      <c r="C1008" s="124" t="s">
        <v>45</v>
      </c>
      <c r="D1008" s="103" t="str">
        <f>'Composição de Custos '!D117</f>
        <v>TOALHEIRO PLASTICO TIPO DISPENSER PARA PAPEL TOALHA INTERFOLHADO PARA BOX SANITÁRIO</v>
      </c>
      <c r="E1008" s="190">
        <v>1</v>
      </c>
      <c r="F1008" s="615"/>
      <c r="G1008" s="105">
        <f t="shared" si="72"/>
        <v>0</v>
      </c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  <row r="1009" spans="1:26" ht="12.75" customHeight="1">
      <c r="A1009" s="128">
        <v>55.15</v>
      </c>
      <c r="B1009" s="97">
        <v>377</v>
      </c>
      <c r="C1009" s="124" t="s">
        <v>45</v>
      </c>
      <c r="D1009" s="213" t="s">
        <v>771</v>
      </c>
      <c r="E1009" s="216">
        <v>1</v>
      </c>
      <c r="F1009" s="615"/>
      <c r="G1009" s="105">
        <f t="shared" si="72"/>
        <v>0</v>
      </c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</row>
    <row r="1010" spans="1:26" ht="12.75" customHeight="1">
      <c r="A1010" s="128">
        <v>55.16</v>
      </c>
      <c r="B1010" s="97">
        <v>72897</v>
      </c>
      <c r="C1010" s="211" t="s">
        <v>82</v>
      </c>
      <c r="D1010" s="213" t="s">
        <v>83</v>
      </c>
      <c r="E1010" s="216">
        <v>1</v>
      </c>
      <c r="F1010" s="615"/>
      <c r="G1010" s="105">
        <f t="shared" si="72"/>
        <v>0</v>
      </c>
      <c r="H1010" s="79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</row>
    <row r="1011" spans="1:26" ht="12.75" customHeight="1">
      <c r="A1011" s="132">
        <v>55.17</v>
      </c>
      <c r="B1011" s="133">
        <f>B992</f>
        <v>99803</v>
      </c>
      <c r="C1011" s="133" t="s">
        <v>82</v>
      </c>
      <c r="D1011" s="134" t="str">
        <f>D992</f>
        <v xml:space="preserve">LIMPEZA DE PISO CERÂMICO OU PORCELANATO COM PANO ÚMIDO. AF_04/2019 </v>
      </c>
      <c r="E1011" s="135">
        <v>25</v>
      </c>
      <c r="F1011" s="615"/>
      <c r="G1011" s="136">
        <f t="shared" si="72"/>
        <v>0</v>
      </c>
      <c r="H1011" s="79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</row>
    <row r="1012" spans="1:26" ht="13.5" customHeight="1">
      <c r="A1012" s="185"/>
      <c r="B1012" s="185"/>
      <c r="C1012" s="623"/>
      <c r="D1012" s="702" t="s">
        <v>84</v>
      </c>
      <c r="E1012" s="703"/>
      <c r="F1012" s="719"/>
      <c r="G1012" s="230">
        <f>SUM(G995:G1011)</f>
        <v>0</v>
      </c>
      <c r="H1012" s="79"/>
      <c r="I1012" s="79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</row>
    <row r="1013" spans="1:26" ht="12.75" customHeight="1">
      <c r="A1013" s="95">
        <v>56</v>
      </c>
      <c r="B1013" s="696" t="s">
        <v>778</v>
      </c>
      <c r="C1013" s="682"/>
      <c r="D1013" s="682"/>
      <c r="E1013" s="682"/>
      <c r="F1013" s="682"/>
      <c r="G1013" s="683"/>
      <c r="H1013" s="79"/>
      <c r="I1013" s="79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</row>
    <row r="1014" spans="1:26" ht="38.25" customHeight="1">
      <c r="A1014" s="128">
        <v>56.1</v>
      </c>
      <c r="B1014" s="97">
        <v>90830</v>
      </c>
      <c r="C1014" s="124" t="s">
        <v>60</v>
      </c>
      <c r="D1014" s="103" t="s">
        <v>295</v>
      </c>
      <c r="E1014" s="190">
        <v>1</v>
      </c>
      <c r="F1014" s="615"/>
      <c r="G1014" s="105">
        <f t="shared" ref="G1014:G1033" si="73">F1014*E1014</f>
        <v>0</v>
      </c>
      <c r="H1014" s="79"/>
      <c r="I1014" s="79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</row>
    <row r="1015" spans="1:26" ht="13.5" customHeight="1">
      <c r="A1015" s="128">
        <v>56.2</v>
      </c>
      <c r="B1015" s="133" t="s">
        <v>230</v>
      </c>
      <c r="C1015" s="124" t="s">
        <v>45</v>
      </c>
      <c r="D1015" s="213" t="str">
        <f>'Composição de Custos '!D279</f>
        <v>PLACA DE SINALIZAÇÃO EM BRAILLE E AUTORELEVO 20 X 40 - ACRILICO COM SIMBOLO INTERNACIONAL DE ACESSO CONFORME PROJETO</v>
      </c>
      <c r="E1015" s="216">
        <v>1</v>
      </c>
      <c r="F1015" s="216"/>
      <c r="G1015" s="256">
        <f t="shared" si="73"/>
        <v>0</v>
      </c>
      <c r="H1015" s="79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</row>
    <row r="1016" spans="1:26" ht="12.75" customHeight="1">
      <c r="A1016" s="128">
        <v>56.3</v>
      </c>
      <c r="B1016" s="97" t="s">
        <v>233</v>
      </c>
      <c r="C1016" s="97" t="s">
        <v>60</v>
      </c>
      <c r="D1016" s="103" t="str">
        <f>'Composição de Custos '!D502</f>
        <v>RETIRADA DE CHAPA DE GRANITO DE BOX DE BANHEIRO COMO REAPROVEITAMENTO</v>
      </c>
      <c r="E1016" s="125">
        <f>(0.3*0.7*2)+0.25</f>
        <v>0.66999999999999993</v>
      </c>
      <c r="F1016" s="615"/>
      <c r="G1016" s="105">
        <f t="shared" si="73"/>
        <v>0</v>
      </c>
      <c r="H1016" s="79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</row>
    <row r="1017" spans="1:26" ht="12.75" customHeight="1">
      <c r="A1017" s="128">
        <v>56.4</v>
      </c>
      <c r="B1017" s="97" t="s">
        <v>395</v>
      </c>
      <c r="C1017" s="124" t="s">
        <v>60</v>
      </c>
      <c r="D1017" s="103" t="str">
        <f>'Composição de Custos '!D368</f>
        <v>DIVISÓRIA EM GRANITO, COM DUAS FACES POLIDAS, COR CINZA,  PARA INSTALAÇÃO EM BOXES DE BANHEIRO</v>
      </c>
      <c r="E1017" s="190">
        <f>0.4*0.8*2</f>
        <v>0.64000000000000012</v>
      </c>
      <c r="F1017" s="615"/>
      <c r="G1017" s="105">
        <f t="shared" si="73"/>
        <v>0</v>
      </c>
      <c r="H1017" s="79"/>
      <c r="I1017" s="79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</row>
    <row r="1018" spans="1:26" ht="12.75" customHeight="1">
      <c r="A1018" s="128">
        <v>56.5</v>
      </c>
      <c r="B1018" s="367" t="s">
        <v>429</v>
      </c>
      <c r="C1018" s="367" t="s">
        <v>45</v>
      </c>
      <c r="D1018" s="103" t="str">
        <f>'Composição de Custos '!D513</f>
        <v>RETIRADA DE LOUÇAS SANITÁRIAS</v>
      </c>
      <c r="E1018" s="190">
        <v>2</v>
      </c>
      <c r="F1018" s="615"/>
      <c r="G1018" s="105">
        <f t="shared" si="73"/>
        <v>0</v>
      </c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</row>
    <row r="1019" spans="1:26" ht="12.75" customHeight="1">
      <c r="A1019" s="128">
        <v>56.6</v>
      </c>
      <c r="B1019" s="133" t="s">
        <v>513</v>
      </c>
      <c r="C1019" s="133" t="s">
        <v>45</v>
      </c>
      <c r="D1019" s="134" t="str">
        <f>'Composição de Custos '!D566</f>
        <v>ADEQUAÇÃO PONTO VALVULA MICTORIO</v>
      </c>
      <c r="E1019" s="257">
        <v>1</v>
      </c>
      <c r="F1019" s="615"/>
      <c r="G1019" s="105">
        <f t="shared" si="73"/>
        <v>0</v>
      </c>
      <c r="H1019" s="79"/>
      <c r="I1019" s="79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</row>
    <row r="1020" spans="1:26" ht="30.75" customHeight="1">
      <c r="A1020" s="128">
        <v>56.7</v>
      </c>
      <c r="B1020" s="97" t="s">
        <v>184</v>
      </c>
      <c r="C1020" s="97" t="s">
        <v>45</v>
      </c>
      <c r="D1020" s="103" t="str">
        <f>'Composição de Custos '!D72</f>
        <v xml:space="preserve">BARRA DE APOIO EM TUBO DE AÇO INOXIDÁVEL OU ALUMÍNIO, COM 70 CM, DIAM. 30 À 45 MM, FIXAÇÃO VERTICAL OU HORIZONTAL  </v>
      </c>
      <c r="E1020" s="125">
        <v>2</v>
      </c>
      <c r="F1020" s="615"/>
      <c r="G1020" s="105">
        <f t="shared" si="73"/>
        <v>0</v>
      </c>
      <c r="H1020" s="79"/>
      <c r="I1020" s="79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</row>
    <row r="1021" spans="1:26" ht="25.5" customHeight="1">
      <c r="A1021" s="128">
        <v>56.8</v>
      </c>
      <c r="B1021" s="236" t="s">
        <v>287</v>
      </c>
      <c r="C1021" s="236" t="s">
        <v>45</v>
      </c>
      <c r="D1021" s="134" t="str">
        <f>'Composição de Custos '!D220</f>
        <v>PORTA DE ALUMINIO 90 CM TIPO VENEZIANA COM PUXADOR HORIZONTAL E TARJETA LIVRE/OCUPADO</v>
      </c>
      <c r="E1021" s="129">
        <v>1</v>
      </c>
      <c r="F1021" s="615"/>
      <c r="G1021" s="105">
        <f t="shared" si="73"/>
        <v>0</v>
      </c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</row>
    <row r="1022" spans="1:26" ht="25.5" customHeight="1">
      <c r="A1022" s="624">
        <v>56.9</v>
      </c>
      <c r="B1022" s="97" t="s">
        <v>202</v>
      </c>
      <c r="C1022" s="124" t="s">
        <v>45</v>
      </c>
      <c r="D1022" s="103" t="str">
        <f>'Composição de Custos '!D99</f>
        <v>TORNEIRA LAVATORIO PRESSMATIC,  VOLANTE TIPO ALAVANCA, PARA LAVATÓRIO DE P.N.E DOCOL OU SIMILAR</v>
      </c>
      <c r="E1022" s="123">
        <v>1</v>
      </c>
      <c r="F1022" s="615"/>
      <c r="G1022" s="105">
        <f t="shared" si="73"/>
        <v>0</v>
      </c>
      <c r="H1022" s="79"/>
      <c r="I1022" s="79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</row>
    <row r="1023" spans="1:26" ht="38.25" customHeight="1">
      <c r="A1023" s="580">
        <v>56.1</v>
      </c>
      <c r="B1023" s="97" t="s">
        <v>386</v>
      </c>
      <c r="C1023" s="124" t="s">
        <v>45</v>
      </c>
      <c r="D1023" s="103" t="str">
        <f>'Composição de Custos '!D353</f>
        <v>READEQUAÇÃO DA ALTURA DE APARELHOS SANITÁRIOS   ATRAVÉS DA INSTALAÇÃO DE SÓCULO NA BASE PARA ADEQUAÇÃO DA NORMA DE ACESSIBILIDADE NBR 9050, ITEM 7.3.14</v>
      </c>
      <c r="E1023" s="123">
        <v>1</v>
      </c>
      <c r="F1023" s="615"/>
      <c r="G1023" s="105">
        <f t="shared" si="73"/>
        <v>0</v>
      </c>
      <c r="H1023" s="79"/>
      <c r="I1023" s="79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</row>
    <row r="1024" spans="1:26" ht="30.75" customHeight="1">
      <c r="A1024" s="128">
        <v>56.11</v>
      </c>
      <c r="B1024" s="97" t="s">
        <v>184</v>
      </c>
      <c r="C1024" s="97" t="s">
        <v>45</v>
      </c>
      <c r="D1024" s="103" t="str">
        <f>'Composição de Custos '!D72</f>
        <v xml:space="preserve">BARRA DE APOIO EM TUBO DE AÇO INOXIDÁVEL OU ALUMÍNIO, COM 70 CM, DIAM. 30 À 45 MM, FIXAÇÃO VERTICAL OU HORIZONTAL  </v>
      </c>
      <c r="E1024" s="125">
        <v>1</v>
      </c>
      <c r="F1024" s="615"/>
      <c r="G1024" s="105">
        <f t="shared" si="73"/>
        <v>0</v>
      </c>
      <c r="H1024" s="79"/>
      <c r="I1024" s="79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</row>
    <row r="1025" spans="1:26" ht="29.25" customHeight="1">
      <c r="A1025" s="128">
        <v>56.12</v>
      </c>
      <c r="B1025" s="97" t="s">
        <v>271</v>
      </c>
      <c r="C1025" s="124" t="s">
        <v>45</v>
      </c>
      <c r="D1025" s="103" t="str">
        <f>'Composição de Custos '!D179</f>
        <v>BARRA DE APOIO RETA, EM ACO INOX POLIDO, COMPRIMENTO 40CM, DIAMETRO MINIMO 3, FIXAÇÃO VERTICAL NA PAREDE</v>
      </c>
      <c r="E1025" s="123">
        <v>2</v>
      </c>
      <c r="F1025" s="615"/>
      <c r="G1025" s="105">
        <f t="shared" si="73"/>
        <v>0</v>
      </c>
      <c r="H1025" s="79"/>
      <c r="I1025" s="79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</row>
    <row r="1026" spans="1:26" ht="25.5" customHeight="1">
      <c r="A1026" s="128">
        <v>56.13</v>
      </c>
      <c r="B1026" s="422" t="s">
        <v>257</v>
      </c>
      <c r="C1026" s="124" t="s">
        <v>45</v>
      </c>
      <c r="D1026" s="423" t="str">
        <f>'Composição de Custos '!D158</f>
        <v>BARRA DE APOIO HORIZONTAL, EM AÇO INOX PARA P.N.E L = 80CM (VASO SANITÁRIO) CONFORME NBR 9050</v>
      </c>
      <c r="E1026" s="424">
        <v>2</v>
      </c>
      <c r="F1026" s="615"/>
      <c r="G1026" s="105">
        <f t="shared" si="73"/>
        <v>0</v>
      </c>
      <c r="H1026" s="79"/>
      <c r="I1026" s="79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</row>
    <row r="1027" spans="1:26" ht="13.5" customHeight="1">
      <c r="A1027" s="128">
        <v>56.14</v>
      </c>
      <c r="B1027" s="97">
        <v>85005</v>
      </c>
      <c r="C1027" s="97" t="s">
        <v>60</v>
      </c>
      <c r="D1027" s="103" t="s">
        <v>263</v>
      </c>
      <c r="E1027" s="125">
        <f>0.9*0.57</f>
        <v>0.51300000000000001</v>
      </c>
      <c r="F1027" s="615"/>
      <c r="G1027" s="105">
        <f t="shared" si="73"/>
        <v>0</v>
      </c>
      <c r="H1027" s="79"/>
      <c r="I1027" s="79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</row>
    <row r="1028" spans="1:26" ht="13.5" customHeight="1">
      <c r="A1028" s="128">
        <v>56.15</v>
      </c>
      <c r="B1028" s="97" t="s">
        <v>218</v>
      </c>
      <c r="C1028" s="124" t="s">
        <v>45</v>
      </c>
      <c r="D1028" s="103" t="str">
        <f>'Composição de Custos '!D107</f>
        <v>TOALHEIRO PLASTICO TIPO DISPENSER PARA PAPEL TOALHA INTERFOLHADO</v>
      </c>
      <c r="E1028" s="125">
        <v>1</v>
      </c>
      <c r="F1028" s="615"/>
      <c r="G1028" s="105">
        <f t="shared" si="73"/>
        <v>0</v>
      </c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</row>
    <row r="1029" spans="1:26" ht="24.75" customHeight="1">
      <c r="A1029" s="128">
        <v>56.16</v>
      </c>
      <c r="B1029" s="97" t="s">
        <v>220</v>
      </c>
      <c r="C1029" s="97" t="s">
        <v>45</v>
      </c>
      <c r="D1029" s="103" t="str">
        <f>'Composição de Custos '!D112</f>
        <v>SABONETEIRA PLASTICA TIPO DISPENSER PARA SABONETE LIQUIDO COM RESERVATORIO 800 A 1500 ML</v>
      </c>
      <c r="E1029" s="125">
        <v>1</v>
      </c>
      <c r="F1029" s="615"/>
      <c r="G1029" s="105">
        <f t="shared" si="73"/>
        <v>0</v>
      </c>
      <c r="H1029" s="79"/>
      <c r="I1029" s="79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</row>
    <row r="1030" spans="1:26" ht="13.5" customHeight="1">
      <c r="A1030" s="128">
        <v>56.17</v>
      </c>
      <c r="B1030" s="97" t="s">
        <v>223</v>
      </c>
      <c r="C1030" s="124" t="s">
        <v>45</v>
      </c>
      <c r="D1030" s="103" t="str">
        <f>'Composição de Custos '!D117</f>
        <v>TOALHEIRO PLASTICO TIPO DISPENSER PARA PAPEL TOALHA INTERFOLHADO PARA BOX SANITÁRIO</v>
      </c>
      <c r="E1030" s="190">
        <v>1</v>
      </c>
      <c r="F1030" s="615"/>
      <c r="G1030" s="105">
        <f t="shared" si="73"/>
        <v>0</v>
      </c>
      <c r="H1030" s="79"/>
      <c r="I1030" s="79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</row>
    <row r="1031" spans="1:26" ht="12.75" customHeight="1">
      <c r="A1031" s="128">
        <v>56.18</v>
      </c>
      <c r="B1031" s="97">
        <v>377</v>
      </c>
      <c r="C1031" s="124" t="s">
        <v>45</v>
      </c>
      <c r="D1031" s="213" t="s">
        <v>771</v>
      </c>
      <c r="E1031" s="216">
        <v>1</v>
      </c>
      <c r="F1031" s="615"/>
      <c r="G1031" s="105">
        <f t="shared" si="73"/>
        <v>0</v>
      </c>
      <c r="H1031" s="79"/>
      <c r="I1031" s="79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</row>
    <row r="1032" spans="1:26" ht="12.75" customHeight="1">
      <c r="A1032" s="368">
        <v>56.19</v>
      </c>
      <c r="B1032" s="97">
        <v>72897</v>
      </c>
      <c r="C1032" s="211" t="s">
        <v>82</v>
      </c>
      <c r="D1032" s="213" t="s">
        <v>83</v>
      </c>
      <c r="E1032" s="216">
        <v>1</v>
      </c>
      <c r="F1032" s="615"/>
      <c r="G1032" s="105">
        <f t="shared" si="73"/>
        <v>0</v>
      </c>
      <c r="H1032" s="79"/>
      <c r="I1032" s="79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</row>
    <row r="1033" spans="1:26" ht="12.75" customHeight="1">
      <c r="A1033" s="610">
        <v>56.2</v>
      </c>
      <c r="B1033" s="133">
        <v>99803</v>
      </c>
      <c r="C1033" s="133" t="s">
        <v>82</v>
      </c>
      <c r="D1033" s="134" t="str">
        <f>D1011</f>
        <v xml:space="preserve">LIMPEZA DE PISO CERÂMICO OU PORCELANATO COM PANO ÚMIDO. AF_04/2019 </v>
      </c>
      <c r="E1033" s="135">
        <v>25</v>
      </c>
      <c r="F1033" s="615"/>
      <c r="G1033" s="136">
        <f t="shared" si="73"/>
        <v>0</v>
      </c>
      <c r="H1033" s="79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</row>
    <row r="1034" spans="1:26" ht="13.5" customHeight="1">
      <c r="A1034" s="185"/>
      <c r="B1034" s="185"/>
      <c r="C1034" s="623"/>
      <c r="D1034" s="702" t="s">
        <v>84</v>
      </c>
      <c r="E1034" s="703"/>
      <c r="F1034" s="719"/>
      <c r="G1034" s="230">
        <f>SUM(G1014:G1033)</f>
        <v>0</v>
      </c>
      <c r="H1034" s="79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</row>
    <row r="1035" spans="1:26" ht="12.75" customHeight="1">
      <c r="A1035" s="95">
        <v>57</v>
      </c>
      <c r="B1035" s="696" t="s">
        <v>779</v>
      </c>
      <c r="C1035" s="682"/>
      <c r="D1035" s="682"/>
      <c r="E1035" s="682"/>
      <c r="F1035" s="682"/>
      <c r="G1035" s="683"/>
      <c r="H1035" s="79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</row>
    <row r="1036" spans="1:26" ht="25.5" customHeight="1">
      <c r="A1036" s="128">
        <v>57.1</v>
      </c>
      <c r="B1036" s="133" t="str">
        <f>'Composição de Custos '!A902</f>
        <v>C082.3</v>
      </c>
      <c r="C1036" s="133" t="s">
        <v>45</v>
      </c>
      <c r="D1036" s="134" t="s">
        <v>780</v>
      </c>
      <c r="E1036" s="615">
        <v>1</v>
      </c>
      <c r="F1036" s="135"/>
      <c r="G1036" s="136">
        <f t="shared" ref="G1036:G1044" si="74">F1036*E1036</f>
        <v>0</v>
      </c>
      <c r="H1036" s="79"/>
      <c r="I1036" s="79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</row>
    <row r="1037" spans="1:26" ht="25.5" customHeight="1">
      <c r="A1037" s="634">
        <v>57.2</v>
      </c>
      <c r="B1037" s="422" t="str">
        <f>'Composição de Custos '!A882</f>
        <v>C082</v>
      </c>
      <c r="C1037" s="124" t="s">
        <v>60</v>
      </c>
      <c r="D1037" s="563" t="str">
        <f>'Composição de Custos '!D882</f>
        <v>PORTA CORTA FOGO, DE ABRIR, 02 FOLHAS, EM CHAPA DE AÇO GALVANIZADO Nº24, BATENTE EM CHAPA Nº18, CLASSE 90, ISOLANTE EM MANTA CERÂMICA INCOMBUSTÍVEL E=5CM, DOBRADIÇAS TIPO HELICOIDAL EM AÇO</v>
      </c>
      <c r="E1037" s="615">
        <f>1.5*2.1</f>
        <v>3.1500000000000004</v>
      </c>
      <c r="F1037" s="635"/>
      <c r="G1037" s="105">
        <f t="shared" si="74"/>
        <v>0</v>
      </c>
      <c r="H1037" s="79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</row>
    <row r="1038" spans="1:26" ht="12.75" customHeight="1">
      <c r="A1038" s="128">
        <v>57.3</v>
      </c>
      <c r="B1038" s="133" t="s">
        <v>606</v>
      </c>
      <c r="C1038" s="133" t="s">
        <v>70</v>
      </c>
      <c r="D1038" s="134" t="s">
        <v>280</v>
      </c>
      <c r="E1038" s="615">
        <v>3.27</v>
      </c>
      <c r="F1038" s="135"/>
      <c r="G1038" s="136">
        <f t="shared" si="74"/>
        <v>0</v>
      </c>
      <c r="H1038" s="79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</row>
    <row r="1039" spans="1:26" ht="12.75" customHeight="1">
      <c r="A1039" s="634">
        <v>57.4</v>
      </c>
      <c r="B1039" s="138">
        <v>79464</v>
      </c>
      <c r="C1039" s="138" t="s">
        <v>60</v>
      </c>
      <c r="D1039" s="132" t="s">
        <v>781</v>
      </c>
      <c r="E1039" s="615">
        <f>2.1*1*2+1.6*2.1*2</f>
        <v>10.920000000000002</v>
      </c>
      <c r="F1039" s="139"/>
      <c r="G1039" s="139">
        <f t="shared" si="74"/>
        <v>0</v>
      </c>
      <c r="H1039" s="79"/>
      <c r="I1039" s="79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</row>
    <row r="1040" spans="1:26" ht="12.75" customHeight="1">
      <c r="A1040" s="128">
        <v>57.5</v>
      </c>
      <c r="B1040" s="138">
        <v>72144</v>
      </c>
      <c r="C1040" s="138" t="s">
        <v>125</v>
      </c>
      <c r="D1040" s="137" t="s">
        <v>782</v>
      </c>
      <c r="E1040" s="615">
        <v>3</v>
      </c>
      <c r="F1040" s="139"/>
      <c r="G1040" s="139">
        <f t="shared" si="74"/>
        <v>0</v>
      </c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</row>
    <row r="1041" spans="1:26" ht="12.75" customHeight="1">
      <c r="A1041" s="634">
        <v>57.6</v>
      </c>
      <c r="B1041" s="133" t="s">
        <v>492</v>
      </c>
      <c r="C1041" s="133" t="s">
        <v>45</v>
      </c>
      <c r="D1041" s="134" t="s">
        <v>493</v>
      </c>
      <c r="E1041" s="615">
        <v>1</v>
      </c>
      <c r="F1041" s="135"/>
      <c r="G1041" s="136">
        <f t="shared" si="74"/>
        <v>0</v>
      </c>
      <c r="H1041" s="79"/>
      <c r="I1041" s="79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</row>
    <row r="1042" spans="1:26" ht="12.75" customHeight="1">
      <c r="A1042" s="128">
        <v>57.7</v>
      </c>
      <c r="B1042" s="133" t="s">
        <v>489</v>
      </c>
      <c r="C1042" s="133" t="s">
        <v>45</v>
      </c>
      <c r="D1042" s="134" t="s">
        <v>490</v>
      </c>
      <c r="E1042" s="615">
        <v>1</v>
      </c>
      <c r="F1042" s="135"/>
      <c r="G1042" s="136">
        <f t="shared" si="74"/>
        <v>0</v>
      </c>
      <c r="H1042" s="79"/>
      <c r="I1042" s="79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</row>
    <row r="1043" spans="1:26" ht="12.75" customHeight="1">
      <c r="A1043" s="634">
        <v>57.8</v>
      </c>
      <c r="B1043" s="133">
        <v>97645</v>
      </c>
      <c r="C1043" s="133" t="s">
        <v>60</v>
      </c>
      <c r="D1043" s="134" t="s">
        <v>783</v>
      </c>
      <c r="E1043" s="615">
        <v>1.8</v>
      </c>
      <c r="F1043" s="135"/>
      <c r="G1043" s="136">
        <f t="shared" si="74"/>
        <v>0</v>
      </c>
      <c r="H1043" s="79"/>
      <c r="I1043" s="79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</row>
    <row r="1044" spans="1:26" ht="12.75" customHeight="1">
      <c r="A1044" s="128">
        <v>57.9</v>
      </c>
      <c r="B1044" s="133">
        <v>99803</v>
      </c>
      <c r="C1044" s="133" t="s">
        <v>82</v>
      </c>
      <c r="D1044" s="636" t="s">
        <v>570</v>
      </c>
      <c r="E1044" s="615">
        <v>30</v>
      </c>
      <c r="F1044" s="615"/>
      <c r="G1044" s="136">
        <f t="shared" si="74"/>
        <v>0</v>
      </c>
      <c r="H1044" s="79"/>
      <c r="I1044" s="79"/>
      <c r="J1044" s="79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</row>
    <row r="1045" spans="1:26" ht="12.75" customHeight="1">
      <c r="A1045" s="460"/>
      <c r="B1045" s="455"/>
      <c r="C1045" s="265"/>
      <c r="D1045" s="709" t="s">
        <v>84</v>
      </c>
      <c r="E1045" s="703"/>
      <c r="F1045" s="704"/>
      <c r="G1045" s="266">
        <f>SUM(G1036:G1044)</f>
        <v>0</v>
      </c>
      <c r="H1045" s="79"/>
      <c r="I1045" s="79"/>
      <c r="J1045" s="79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  <c r="Y1045" s="79"/>
      <c r="Z1045" s="79"/>
    </row>
    <row r="1046" spans="1:26" ht="12.75" customHeight="1">
      <c r="A1046" s="95">
        <v>58</v>
      </c>
      <c r="B1046" s="696" t="s">
        <v>784</v>
      </c>
      <c r="C1046" s="682"/>
      <c r="D1046" s="682"/>
      <c r="E1046" s="682"/>
      <c r="F1046" s="682"/>
      <c r="G1046" s="683"/>
      <c r="H1046" s="79"/>
      <c r="I1046" s="79"/>
      <c r="J1046" s="79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  <c r="Y1046" s="79"/>
      <c r="Z1046" s="79"/>
    </row>
    <row r="1047" spans="1:26" ht="25.5" customHeight="1">
      <c r="A1047" s="128">
        <v>58.1</v>
      </c>
      <c r="B1047" s="144" t="str">
        <f>'Composição de Custos '!A882</f>
        <v>C082</v>
      </c>
      <c r="C1047" s="124" t="s">
        <v>60</v>
      </c>
      <c r="D1047" s="563" t="s">
        <v>785</v>
      </c>
      <c r="E1047" s="615">
        <f>1.6*2.1</f>
        <v>3.3600000000000003</v>
      </c>
      <c r="F1047" s="129"/>
      <c r="G1047" s="105">
        <f t="shared" ref="G1047:G1060" si="75">F1047*E1047</f>
        <v>0</v>
      </c>
      <c r="H1047" s="79"/>
      <c r="I1047" s="79"/>
      <c r="J1047" s="79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  <c r="Y1047" s="79"/>
      <c r="Z1047" s="79"/>
    </row>
    <row r="1048" spans="1:26" ht="31.5" customHeight="1">
      <c r="A1048" s="128">
        <v>58.2</v>
      </c>
      <c r="B1048" s="133" t="str">
        <f>'Composição de Custos '!A889</f>
        <v>C082.1</v>
      </c>
      <c r="C1048" s="133" t="s">
        <v>45</v>
      </c>
      <c r="D1048" s="134" t="s">
        <v>786</v>
      </c>
      <c r="E1048" s="615">
        <v>4</v>
      </c>
      <c r="F1048" s="135"/>
      <c r="G1048" s="136">
        <f t="shared" si="75"/>
        <v>0</v>
      </c>
      <c r="H1048" s="79">
        <f>4*1*2.1*680.86</f>
        <v>5719.2240000000002</v>
      </c>
      <c r="I1048" s="79"/>
      <c r="J1048" s="79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  <c r="Y1048" s="79"/>
      <c r="Z1048" s="79"/>
    </row>
    <row r="1049" spans="1:26" ht="12.75" customHeight="1">
      <c r="A1049" s="128">
        <v>58.3</v>
      </c>
      <c r="B1049" s="133" t="s">
        <v>489</v>
      </c>
      <c r="C1049" s="133" t="s">
        <v>45</v>
      </c>
      <c r="D1049" s="134" t="s">
        <v>490</v>
      </c>
      <c r="E1049" s="615">
        <v>4</v>
      </c>
      <c r="F1049" s="135"/>
      <c r="G1049" s="139">
        <f t="shared" si="75"/>
        <v>0</v>
      </c>
      <c r="H1049" s="79"/>
      <c r="I1049" s="79"/>
      <c r="J1049" s="79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  <c r="Y1049" s="79"/>
      <c r="Z1049" s="79"/>
    </row>
    <row r="1050" spans="1:26" ht="12.75" customHeight="1">
      <c r="A1050" s="128">
        <v>58.4</v>
      </c>
      <c r="B1050" s="138" t="s">
        <v>492</v>
      </c>
      <c r="C1050" s="138" t="s">
        <v>45</v>
      </c>
      <c r="D1050" s="132" t="s">
        <v>493</v>
      </c>
      <c r="E1050" s="615">
        <v>1</v>
      </c>
      <c r="F1050" s="139"/>
      <c r="G1050" s="139">
        <f t="shared" si="75"/>
        <v>0</v>
      </c>
      <c r="H1050" s="79"/>
      <c r="I1050" s="79"/>
      <c r="J1050" s="79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  <c r="Y1050" s="79"/>
      <c r="Z1050" s="79"/>
    </row>
    <row r="1051" spans="1:26" ht="12.75" customHeight="1">
      <c r="A1051" s="128">
        <v>58.5</v>
      </c>
      <c r="B1051" s="138" t="s">
        <v>606</v>
      </c>
      <c r="C1051" s="138" t="s">
        <v>70</v>
      </c>
      <c r="D1051" s="137" t="s">
        <v>280</v>
      </c>
      <c r="E1051" s="615">
        <v>2.5499999999999998</v>
      </c>
      <c r="F1051" s="139"/>
      <c r="G1051" s="139">
        <f t="shared" si="75"/>
        <v>0</v>
      </c>
      <c r="H1051" s="79"/>
      <c r="I1051" s="79"/>
      <c r="J1051" s="79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  <c r="Y1051" s="79"/>
      <c r="Z1051" s="79"/>
    </row>
    <row r="1052" spans="1:26" ht="12.75" customHeight="1">
      <c r="A1052" s="128">
        <v>58.6</v>
      </c>
      <c r="B1052" s="138">
        <v>79464</v>
      </c>
      <c r="C1052" s="138" t="s">
        <v>60</v>
      </c>
      <c r="D1052" s="132" t="s">
        <v>781</v>
      </c>
      <c r="E1052" s="615">
        <f>1.6*2.1*2+1*2.1*2</f>
        <v>10.920000000000002</v>
      </c>
      <c r="F1052" s="139"/>
      <c r="G1052" s="139">
        <f t="shared" si="75"/>
        <v>0</v>
      </c>
      <c r="H1052" s="79"/>
      <c r="I1052" s="79"/>
      <c r="J1052" s="79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  <c r="Y1052" s="79"/>
      <c r="Z1052" s="79"/>
    </row>
    <row r="1053" spans="1:26" ht="36" customHeight="1">
      <c r="A1053" s="128">
        <v>58.7</v>
      </c>
      <c r="B1053" s="133">
        <v>97645</v>
      </c>
      <c r="C1053" s="133" t="s">
        <v>60</v>
      </c>
      <c r="D1053" s="134" t="s">
        <v>783</v>
      </c>
      <c r="E1053" s="615">
        <v>10.47</v>
      </c>
      <c r="F1053" s="135"/>
      <c r="G1053" s="136">
        <f t="shared" si="75"/>
        <v>0</v>
      </c>
      <c r="H1053" s="79"/>
      <c r="I1053" s="79"/>
      <c r="J1053" s="79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  <c r="Y1053" s="79"/>
      <c r="Z1053" s="79"/>
    </row>
    <row r="1054" spans="1:26" ht="36" customHeight="1">
      <c r="A1054" s="128">
        <v>58.8</v>
      </c>
      <c r="B1054" s="133">
        <v>87503</v>
      </c>
      <c r="C1054" s="133" t="s">
        <v>60</v>
      </c>
      <c r="D1054" s="134" t="s">
        <v>435</v>
      </c>
      <c r="E1054" s="615">
        <v>13.37</v>
      </c>
      <c r="F1054" s="135"/>
      <c r="G1054" s="136">
        <f t="shared" si="75"/>
        <v>0</v>
      </c>
      <c r="H1054" s="79"/>
      <c r="I1054" s="79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  <c r="Y1054" s="79"/>
      <c r="Z1054" s="79"/>
    </row>
    <row r="1055" spans="1:26" ht="36" customHeight="1">
      <c r="A1055" s="128">
        <v>58.9</v>
      </c>
      <c r="B1055" s="133">
        <v>87529</v>
      </c>
      <c r="C1055" s="133" t="s">
        <v>60</v>
      </c>
      <c r="D1055" s="134" t="s">
        <v>787</v>
      </c>
      <c r="E1055" s="615">
        <v>2.13</v>
      </c>
      <c r="F1055" s="135"/>
      <c r="G1055" s="136">
        <f t="shared" si="75"/>
        <v>0</v>
      </c>
      <c r="H1055" s="79"/>
      <c r="I1055" s="79"/>
      <c r="J1055" s="79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</row>
    <row r="1056" spans="1:26" ht="36" customHeight="1">
      <c r="A1056" s="580">
        <v>58.1</v>
      </c>
      <c r="B1056" s="133">
        <v>88489</v>
      </c>
      <c r="C1056" s="133" t="s">
        <v>60</v>
      </c>
      <c r="D1056" s="134" t="s">
        <v>398</v>
      </c>
      <c r="E1056" s="615">
        <v>2.13</v>
      </c>
      <c r="F1056" s="135"/>
      <c r="G1056" s="136">
        <f t="shared" si="75"/>
        <v>0</v>
      </c>
      <c r="H1056" s="79"/>
      <c r="I1056" s="79"/>
      <c r="J1056" s="79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  <c r="Y1056" s="79"/>
      <c r="Z1056" s="79"/>
    </row>
    <row r="1057" spans="1:26" ht="36" customHeight="1">
      <c r="A1057" s="128">
        <v>58.11</v>
      </c>
      <c r="B1057" s="133">
        <v>88497</v>
      </c>
      <c r="C1057" s="133" t="s">
        <v>60</v>
      </c>
      <c r="D1057" s="134" t="s">
        <v>788</v>
      </c>
      <c r="E1057" s="615">
        <v>2.13</v>
      </c>
      <c r="F1057" s="135"/>
      <c r="G1057" s="136">
        <f t="shared" si="75"/>
        <v>0</v>
      </c>
      <c r="H1057" s="79"/>
      <c r="I1057" s="79"/>
      <c r="J1057" s="79"/>
      <c r="K1057" s="79"/>
      <c r="L1057" s="79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  <c r="Y1057" s="79"/>
      <c r="Z1057" s="79"/>
    </row>
    <row r="1058" spans="1:26" ht="36" customHeight="1">
      <c r="A1058" s="580">
        <v>58.12</v>
      </c>
      <c r="B1058" s="138">
        <v>97622</v>
      </c>
      <c r="C1058" s="138" t="s">
        <v>82</v>
      </c>
      <c r="D1058" s="137" t="s">
        <v>789</v>
      </c>
      <c r="E1058" s="615">
        <v>3.21</v>
      </c>
      <c r="F1058" s="139"/>
      <c r="G1058" s="139">
        <f t="shared" si="75"/>
        <v>0</v>
      </c>
      <c r="H1058" s="79"/>
      <c r="I1058" s="79"/>
      <c r="J1058" s="79"/>
      <c r="K1058" s="79"/>
      <c r="L1058" s="79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  <c r="Y1058" s="79"/>
      <c r="Z1058" s="79"/>
    </row>
    <row r="1059" spans="1:26" ht="25.5" customHeight="1">
      <c r="A1059" s="128">
        <v>58.13</v>
      </c>
      <c r="B1059" s="124">
        <v>97644</v>
      </c>
      <c r="C1059" s="124" t="s">
        <v>60</v>
      </c>
      <c r="D1059" s="132" t="s">
        <v>732</v>
      </c>
      <c r="E1059" s="615">
        <v>1.89</v>
      </c>
      <c r="F1059" s="129"/>
      <c r="G1059" s="105">
        <f t="shared" si="75"/>
        <v>0</v>
      </c>
      <c r="H1059" s="79"/>
      <c r="I1059" s="79"/>
      <c r="J1059" s="79"/>
      <c r="K1059" s="79"/>
      <c r="L1059" s="79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  <c r="Y1059" s="79"/>
      <c r="Z1059" s="79"/>
    </row>
    <row r="1060" spans="1:26" ht="25.5" customHeight="1">
      <c r="A1060" s="580">
        <v>58.14</v>
      </c>
      <c r="B1060" s="138">
        <v>72144</v>
      </c>
      <c r="C1060" s="138" t="s">
        <v>125</v>
      </c>
      <c r="D1060" s="137" t="s">
        <v>782</v>
      </c>
      <c r="E1060" s="139">
        <v>3</v>
      </c>
      <c r="F1060" s="139"/>
      <c r="G1060" s="139">
        <f t="shared" si="75"/>
        <v>0</v>
      </c>
      <c r="H1060" s="79"/>
      <c r="I1060" s="79"/>
      <c r="J1060" s="79"/>
      <c r="K1060" s="79"/>
      <c r="L1060" s="79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  <c r="Y1060" s="79"/>
      <c r="Z1060" s="79"/>
    </row>
    <row r="1061" spans="1:26" ht="12.75" customHeight="1">
      <c r="A1061" s="454"/>
      <c r="B1061" s="455"/>
      <c r="C1061" s="185"/>
      <c r="D1061" s="702" t="s">
        <v>84</v>
      </c>
      <c r="E1061" s="703"/>
      <c r="F1061" s="704"/>
      <c r="G1061" s="230">
        <f>SUM(G1047:G1060)</f>
        <v>0</v>
      </c>
      <c r="H1061" s="79"/>
      <c r="I1061" s="79"/>
      <c r="J1061" s="79"/>
      <c r="K1061" s="79"/>
      <c r="L1061" s="79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  <c r="Y1061" s="79"/>
      <c r="Z1061" s="79"/>
    </row>
    <row r="1062" spans="1:26" ht="12.75" customHeight="1">
      <c r="A1062" s="95">
        <v>59</v>
      </c>
      <c r="B1062" s="696" t="s">
        <v>790</v>
      </c>
      <c r="C1062" s="682"/>
      <c r="D1062" s="682"/>
      <c r="E1062" s="682"/>
      <c r="F1062" s="682"/>
      <c r="G1062" s="683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</row>
    <row r="1063" spans="1:26" ht="25.5" customHeight="1">
      <c r="A1063" s="128">
        <v>59.1</v>
      </c>
      <c r="B1063" s="124">
        <v>97622</v>
      </c>
      <c r="C1063" s="124" t="s">
        <v>82</v>
      </c>
      <c r="D1063" s="563" t="s">
        <v>285</v>
      </c>
      <c r="E1063" s="615">
        <v>3.36</v>
      </c>
      <c r="F1063" s="129"/>
      <c r="G1063" s="105">
        <f t="shared" ref="G1063:G1085" si="76">F1063*E1063</f>
        <v>0</v>
      </c>
      <c r="H1063" s="79"/>
      <c r="I1063" s="79"/>
      <c r="J1063" s="79"/>
      <c r="K1063" s="79"/>
      <c r="L1063" s="79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  <c r="Y1063" s="79"/>
      <c r="Z1063" s="79"/>
    </row>
    <row r="1064" spans="1:26" ht="38.25" customHeight="1">
      <c r="A1064" s="128">
        <v>59.2</v>
      </c>
      <c r="B1064" s="144">
        <v>87270</v>
      </c>
      <c r="C1064" s="144" t="s">
        <v>60</v>
      </c>
      <c r="D1064" s="134" t="s">
        <v>791</v>
      </c>
      <c r="E1064" s="456">
        <v>22.6</v>
      </c>
      <c r="F1064" s="615"/>
      <c r="G1064" s="105">
        <f t="shared" si="76"/>
        <v>0</v>
      </c>
      <c r="H1064" s="79"/>
      <c r="I1064" s="79"/>
      <c r="J1064" s="79"/>
      <c r="K1064" s="79"/>
      <c r="L1064" s="79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  <c r="Y1064" s="79"/>
      <c r="Z1064" s="79"/>
    </row>
    <row r="1065" spans="1:26" ht="36" customHeight="1">
      <c r="A1065" s="128">
        <v>59.3</v>
      </c>
      <c r="B1065" s="133" t="str">
        <f>'Composição de Custos '!A889</f>
        <v>C082.1</v>
      </c>
      <c r="C1065" s="133" t="s">
        <v>125</v>
      </c>
      <c r="D1065" s="563" t="s">
        <v>792</v>
      </c>
      <c r="E1065" s="615">
        <v>1</v>
      </c>
      <c r="F1065" s="135"/>
      <c r="G1065" s="136">
        <f t="shared" si="76"/>
        <v>0</v>
      </c>
      <c r="H1065" s="79"/>
      <c r="I1065" s="79"/>
      <c r="J1065" s="79"/>
      <c r="K1065" s="79"/>
      <c r="L1065" s="79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  <c r="Y1065" s="79"/>
      <c r="Z1065" s="79"/>
    </row>
    <row r="1066" spans="1:26" ht="55.5" customHeight="1">
      <c r="A1066" s="128">
        <v>59.4</v>
      </c>
      <c r="B1066" s="97" t="s">
        <v>679</v>
      </c>
      <c r="C1066" s="124" t="s">
        <v>60</v>
      </c>
      <c r="D1066" s="563" t="s">
        <v>785</v>
      </c>
      <c r="E1066" s="615">
        <v>3.36</v>
      </c>
      <c r="F1066" s="129"/>
      <c r="G1066" s="105">
        <f t="shared" si="76"/>
        <v>0</v>
      </c>
      <c r="H1066" s="79"/>
      <c r="I1066" s="79"/>
      <c r="J1066" s="79"/>
      <c r="K1066" s="79"/>
      <c r="L1066" s="79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  <c r="Y1066" s="79"/>
      <c r="Z1066" s="79"/>
    </row>
    <row r="1067" spans="1:26" ht="25.5" customHeight="1">
      <c r="A1067" s="128">
        <v>59.5</v>
      </c>
      <c r="B1067" s="133" t="s">
        <v>489</v>
      </c>
      <c r="C1067" s="133" t="s">
        <v>45</v>
      </c>
      <c r="D1067" s="134" t="s">
        <v>490</v>
      </c>
      <c r="E1067" s="615">
        <v>1</v>
      </c>
      <c r="F1067" s="135"/>
      <c r="G1067" s="139">
        <f t="shared" si="76"/>
        <v>0</v>
      </c>
      <c r="H1067" s="79"/>
      <c r="I1067" s="79"/>
      <c r="J1067" s="79"/>
      <c r="K1067" s="79"/>
      <c r="L1067" s="79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  <c r="Y1067" s="79"/>
      <c r="Z1067" s="79"/>
    </row>
    <row r="1068" spans="1:26" ht="25.5" customHeight="1">
      <c r="A1068" s="128">
        <v>59.6</v>
      </c>
      <c r="B1068" s="138" t="s">
        <v>492</v>
      </c>
      <c r="C1068" s="138" t="s">
        <v>45</v>
      </c>
      <c r="D1068" s="132" t="s">
        <v>493</v>
      </c>
      <c r="E1068" s="615">
        <v>1</v>
      </c>
      <c r="F1068" s="139"/>
      <c r="G1068" s="139">
        <f t="shared" si="76"/>
        <v>0</v>
      </c>
      <c r="H1068" s="79"/>
      <c r="I1068" s="79"/>
      <c r="J1068" s="79"/>
      <c r="K1068" s="79"/>
      <c r="L1068" s="79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  <c r="Y1068" s="79"/>
      <c r="Z1068" s="79"/>
    </row>
    <row r="1069" spans="1:26" ht="21" customHeight="1">
      <c r="A1069" s="128">
        <v>59.7</v>
      </c>
      <c r="B1069" s="138">
        <v>79464</v>
      </c>
      <c r="C1069" s="138" t="s">
        <v>60</v>
      </c>
      <c r="D1069" s="132" t="s">
        <v>781</v>
      </c>
      <c r="E1069" s="615">
        <f>(2.1*1+1.6*2.1)*2</f>
        <v>10.920000000000002</v>
      </c>
      <c r="F1069" s="139"/>
      <c r="G1069" s="139">
        <f t="shared" si="76"/>
        <v>0</v>
      </c>
      <c r="H1069" s="79"/>
      <c r="I1069" s="79"/>
      <c r="J1069" s="79"/>
      <c r="K1069" s="79"/>
      <c r="L1069" s="79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  <c r="Y1069" s="79"/>
      <c r="Z1069" s="79"/>
    </row>
    <row r="1070" spans="1:26" ht="35.25" customHeight="1">
      <c r="A1070" s="128">
        <v>59.8</v>
      </c>
      <c r="B1070" s="133">
        <v>87503</v>
      </c>
      <c r="C1070" s="133" t="s">
        <v>60</v>
      </c>
      <c r="D1070" s="134" t="s">
        <v>435</v>
      </c>
      <c r="E1070" s="615">
        <v>40.130000000000003</v>
      </c>
      <c r="F1070" s="135"/>
      <c r="G1070" s="136">
        <f t="shared" si="76"/>
        <v>0</v>
      </c>
      <c r="H1070" s="79"/>
      <c r="I1070" s="79"/>
      <c r="J1070" s="79"/>
      <c r="K1070" s="79"/>
      <c r="L1070" s="79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  <c r="Y1070" s="79"/>
      <c r="Z1070" s="79"/>
    </row>
    <row r="1071" spans="1:26" ht="25.5" customHeight="1">
      <c r="A1071" s="128">
        <v>59.9</v>
      </c>
      <c r="B1071" s="97">
        <v>88489</v>
      </c>
      <c r="C1071" s="97" t="s">
        <v>60</v>
      </c>
      <c r="D1071" s="134" t="s">
        <v>398</v>
      </c>
      <c r="E1071" s="615">
        <v>40.130000000000003</v>
      </c>
      <c r="F1071" s="129"/>
      <c r="G1071" s="105">
        <f t="shared" si="76"/>
        <v>0</v>
      </c>
      <c r="H1071" s="79"/>
      <c r="I1071" s="79"/>
      <c r="J1071" s="79"/>
      <c r="K1071" s="79"/>
      <c r="L1071" s="79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  <c r="Y1071" s="79"/>
      <c r="Z1071" s="79"/>
    </row>
    <row r="1072" spans="1:26" ht="25.5" customHeight="1">
      <c r="A1072" s="580">
        <v>59.1</v>
      </c>
      <c r="B1072" s="97">
        <v>88423</v>
      </c>
      <c r="C1072" s="254" t="s">
        <v>60</v>
      </c>
      <c r="D1072" s="325" t="s">
        <v>444</v>
      </c>
      <c r="E1072" s="286">
        <v>4</v>
      </c>
      <c r="F1072" s="286"/>
      <c r="G1072" s="256">
        <f t="shared" si="76"/>
        <v>0</v>
      </c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  <c r="Y1072" s="79"/>
      <c r="Z1072" s="79"/>
    </row>
    <row r="1073" spans="1:26" ht="38.25" customHeight="1">
      <c r="A1073" s="128">
        <v>59.11</v>
      </c>
      <c r="B1073" s="133">
        <v>88497</v>
      </c>
      <c r="C1073" s="133" t="s">
        <v>60</v>
      </c>
      <c r="D1073" s="134" t="s">
        <v>788</v>
      </c>
      <c r="E1073" s="615">
        <v>40.130000000000003</v>
      </c>
      <c r="F1073" s="135"/>
      <c r="G1073" s="136">
        <f t="shared" si="76"/>
        <v>0</v>
      </c>
      <c r="H1073" s="79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  <c r="Y1073" s="79"/>
      <c r="Z1073" s="79"/>
    </row>
    <row r="1074" spans="1:26" ht="25.5" customHeight="1">
      <c r="A1074" s="580">
        <v>59.12</v>
      </c>
      <c r="B1074" s="138">
        <v>90793</v>
      </c>
      <c r="C1074" s="138" t="s">
        <v>125</v>
      </c>
      <c r="D1074" s="137" t="s">
        <v>793</v>
      </c>
      <c r="E1074" s="615">
        <v>2</v>
      </c>
      <c r="F1074" s="139"/>
      <c r="G1074" s="139">
        <f t="shared" si="76"/>
        <v>0</v>
      </c>
      <c r="H1074" s="79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  <c r="Y1074" s="79"/>
      <c r="Z1074" s="79"/>
    </row>
    <row r="1075" spans="1:26" ht="12.75" customHeight="1">
      <c r="A1075" s="128">
        <v>59.13</v>
      </c>
      <c r="B1075" s="97">
        <v>72897</v>
      </c>
      <c r="C1075" s="426" t="s">
        <v>82</v>
      </c>
      <c r="D1075" s="637" t="s">
        <v>83</v>
      </c>
      <c r="E1075" s="638">
        <v>4</v>
      </c>
      <c r="F1075" s="638"/>
      <c r="G1075" s="189">
        <f t="shared" si="76"/>
        <v>0</v>
      </c>
      <c r="H1075" s="79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  <c r="Y1075" s="79"/>
      <c r="Z1075" s="79"/>
    </row>
    <row r="1076" spans="1:26" ht="24.75" customHeight="1">
      <c r="A1076" s="580">
        <v>59.14</v>
      </c>
      <c r="B1076" s="133" t="s">
        <v>385</v>
      </c>
      <c r="C1076" s="324" t="s">
        <v>60</v>
      </c>
      <c r="D1076" s="325" t="s">
        <v>736</v>
      </c>
      <c r="E1076" s="345">
        <v>33.61</v>
      </c>
      <c r="F1076" s="345"/>
      <c r="G1076" s="136">
        <f t="shared" si="76"/>
        <v>0</v>
      </c>
      <c r="H1076" s="79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  <c r="Y1076" s="79"/>
      <c r="Z1076" s="79"/>
    </row>
    <row r="1077" spans="1:26" ht="41.25" customHeight="1">
      <c r="A1077" s="128">
        <v>59.15</v>
      </c>
      <c r="B1077" s="133">
        <v>87879</v>
      </c>
      <c r="C1077" s="324" t="s">
        <v>60</v>
      </c>
      <c r="D1077" s="325" t="s">
        <v>794</v>
      </c>
      <c r="E1077" s="345">
        <v>40.130000000000003</v>
      </c>
      <c r="F1077" s="345"/>
      <c r="G1077" s="136">
        <f t="shared" si="76"/>
        <v>0</v>
      </c>
      <c r="H1077" s="79"/>
      <c r="I1077" s="79"/>
      <c r="J1077" s="79"/>
      <c r="K1077" s="79"/>
      <c r="L1077" s="79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</row>
    <row r="1078" spans="1:26" ht="51" customHeight="1">
      <c r="A1078" s="580">
        <v>59.16</v>
      </c>
      <c r="B1078" s="133">
        <v>87529</v>
      </c>
      <c r="C1078" s="324" t="s">
        <v>60</v>
      </c>
      <c r="D1078" s="325" t="s">
        <v>787</v>
      </c>
      <c r="E1078" s="615">
        <v>40.130000000000003</v>
      </c>
      <c r="F1078" s="345"/>
      <c r="G1078" s="136">
        <f t="shared" si="76"/>
        <v>0</v>
      </c>
      <c r="H1078" s="79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  <c r="Y1078" s="79"/>
      <c r="Z1078" s="79"/>
    </row>
    <row r="1079" spans="1:26" ht="12.75" customHeight="1">
      <c r="A1079" s="128">
        <v>59.169999999999902</v>
      </c>
      <c r="B1079" s="124">
        <v>97644</v>
      </c>
      <c r="C1079" s="124" t="s">
        <v>60</v>
      </c>
      <c r="D1079" s="132" t="s">
        <v>732</v>
      </c>
      <c r="E1079" s="615">
        <f>((0.9*2.1)*3)+(1.4*2.1)*2</f>
        <v>11.55</v>
      </c>
      <c r="F1079" s="129"/>
      <c r="G1079" s="105">
        <f t="shared" si="76"/>
        <v>0</v>
      </c>
      <c r="H1079" s="79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  <c r="Y1079" s="79"/>
      <c r="Z1079" s="79"/>
    </row>
    <row r="1080" spans="1:26" ht="12.75" customHeight="1">
      <c r="A1080" s="128">
        <v>59.16</v>
      </c>
      <c r="B1080" s="133" t="s">
        <v>795</v>
      </c>
      <c r="C1080" s="324" t="s">
        <v>60</v>
      </c>
      <c r="D1080" s="325" t="s">
        <v>796</v>
      </c>
      <c r="E1080" s="345">
        <v>22.7</v>
      </c>
      <c r="F1080" s="345"/>
      <c r="G1080" s="136">
        <f t="shared" si="76"/>
        <v>0</v>
      </c>
      <c r="H1080" s="79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  <c r="Y1080" s="79"/>
      <c r="Z1080" s="79"/>
    </row>
    <row r="1081" spans="1:26" ht="12.75" customHeight="1">
      <c r="A1081" s="128">
        <v>59.189999999999898</v>
      </c>
      <c r="B1081" s="133" t="s">
        <v>599</v>
      </c>
      <c r="C1081" s="324" t="s">
        <v>125</v>
      </c>
      <c r="D1081" s="325" t="s">
        <v>600</v>
      </c>
      <c r="E1081" s="345">
        <v>3</v>
      </c>
      <c r="F1081" s="345"/>
      <c r="G1081" s="136">
        <f t="shared" si="76"/>
        <v>0</v>
      </c>
      <c r="H1081" s="79"/>
      <c r="I1081" s="79"/>
      <c r="J1081" s="79"/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  <c r="Y1081" s="79"/>
      <c r="Z1081" s="79"/>
    </row>
    <row r="1082" spans="1:26" ht="31.5" customHeight="1">
      <c r="A1082" s="580">
        <v>59.209999999999901</v>
      </c>
      <c r="B1082" s="133">
        <v>84191</v>
      </c>
      <c r="C1082" s="324" t="s">
        <v>60</v>
      </c>
      <c r="D1082" s="325" t="s">
        <v>797</v>
      </c>
      <c r="E1082" s="345">
        <v>1.65</v>
      </c>
      <c r="F1082" s="345"/>
      <c r="G1082" s="136">
        <f t="shared" si="76"/>
        <v>0</v>
      </c>
      <c r="H1082" s="79"/>
      <c r="I1082" s="79"/>
      <c r="J1082" s="79"/>
      <c r="K1082" s="79"/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79"/>
      <c r="Z1082" s="79"/>
    </row>
    <row r="1083" spans="1:26" ht="12.75" customHeight="1">
      <c r="A1083" s="128">
        <v>59.2199999999998</v>
      </c>
      <c r="B1083" s="133">
        <v>96110</v>
      </c>
      <c r="C1083" s="324" t="s">
        <v>60</v>
      </c>
      <c r="D1083" s="325" t="s">
        <v>620</v>
      </c>
      <c r="E1083" s="345">
        <v>21.07</v>
      </c>
      <c r="F1083" s="345"/>
      <c r="G1083" s="136">
        <f t="shared" si="76"/>
        <v>0</v>
      </c>
      <c r="H1083" s="79"/>
      <c r="I1083" s="79"/>
      <c r="J1083" s="79"/>
      <c r="K1083" s="79"/>
      <c r="L1083" s="79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  <c r="Y1083" s="79"/>
      <c r="Z1083" s="79"/>
    </row>
    <row r="1084" spans="1:26" ht="12.75" customHeight="1">
      <c r="A1084" s="580">
        <v>59.229999999999798</v>
      </c>
      <c r="B1084" s="133">
        <v>92759</v>
      </c>
      <c r="C1084" s="324" t="s">
        <v>121</v>
      </c>
      <c r="D1084" s="325" t="s">
        <v>798</v>
      </c>
      <c r="E1084" s="345">
        <v>9.66</v>
      </c>
      <c r="F1084" s="345"/>
      <c r="G1084" s="136">
        <f t="shared" si="76"/>
        <v>0</v>
      </c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</row>
    <row r="1085" spans="1:26" ht="12.75" customHeight="1">
      <c r="A1085" s="580">
        <v>59.269999999999797</v>
      </c>
      <c r="B1085" s="133">
        <v>99803</v>
      </c>
      <c r="C1085" s="133" t="s">
        <v>82</v>
      </c>
      <c r="D1085" s="636" t="s">
        <v>570</v>
      </c>
      <c r="E1085" s="135">
        <v>20</v>
      </c>
      <c r="F1085" s="615"/>
      <c r="G1085" s="136">
        <f t="shared" si="76"/>
        <v>0</v>
      </c>
      <c r="H1085" s="79"/>
      <c r="I1085" s="79"/>
      <c r="J1085" s="79"/>
      <c r="K1085" s="79"/>
      <c r="L1085" s="79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  <c r="Y1085" s="79"/>
      <c r="Z1085" s="79"/>
    </row>
    <row r="1086" spans="1:26" ht="12.75" customHeight="1">
      <c r="A1086" s="454"/>
      <c r="B1086" s="455"/>
      <c r="C1086" s="185"/>
      <c r="D1086" s="702" t="s">
        <v>84</v>
      </c>
      <c r="E1086" s="703"/>
      <c r="F1086" s="704"/>
      <c r="G1086" s="230">
        <f>SUM(G1063:G1085)</f>
        <v>0</v>
      </c>
      <c r="H1086" s="79"/>
      <c r="I1086" s="79"/>
      <c r="J1086" s="79"/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  <c r="Y1086" s="79"/>
      <c r="Z1086" s="79"/>
    </row>
    <row r="1087" spans="1:26" ht="14.25" customHeight="1">
      <c r="A1087" s="95">
        <v>60</v>
      </c>
      <c r="B1087" s="696" t="s">
        <v>799</v>
      </c>
      <c r="C1087" s="682"/>
      <c r="D1087" s="682"/>
      <c r="E1087" s="682"/>
      <c r="F1087" s="682"/>
      <c r="G1087" s="683"/>
      <c r="H1087" s="79"/>
      <c r="I1087" s="79"/>
      <c r="J1087" s="79"/>
      <c r="K1087" s="79"/>
      <c r="L1087" s="79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  <c r="Y1087" s="79"/>
      <c r="Z1087" s="79"/>
    </row>
    <row r="1088" spans="1:26" ht="25.5" customHeight="1">
      <c r="A1088" s="128">
        <v>60.1</v>
      </c>
      <c r="B1088" s="124">
        <v>97622</v>
      </c>
      <c r="C1088" s="124" t="s">
        <v>82</v>
      </c>
      <c r="D1088" s="563" t="s">
        <v>285</v>
      </c>
      <c r="E1088" s="615">
        <v>2.94</v>
      </c>
      <c r="F1088" s="129"/>
      <c r="G1088" s="105">
        <f t="shared" ref="G1088:G1094" si="77">F1088*E1088</f>
        <v>0</v>
      </c>
      <c r="H1088" s="79"/>
      <c r="I1088" s="79"/>
      <c r="J1088" s="79"/>
      <c r="K1088" s="79"/>
      <c r="L1088" s="79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  <c r="Y1088" s="79"/>
      <c r="Z1088" s="79"/>
    </row>
    <row r="1089" spans="1:26" ht="51" customHeight="1">
      <c r="A1089" s="128">
        <v>60.2</v>
      </c>
      <c r="B1089" s="97" t="str">
        <f>'Composição de Custos '!A882</f>
        <v>C082</v>
      </c>
      <c r="C1089" s="124" t="s">
        <v>60</v>
      </c>
      <c r="D1089" s="563" t="s">
        <v>785</v>
      </c>
      <c r="E1089" s="615">
        <v>1.68</v>
      </c>
      <c r="F1089" s="129"/>
      <c r="G1089" s="105">
        <f t="shared" si="77"/>
        <v>0</v>
      </c>
      <c r="H1089" s="79">
        <f>558.78*3.36</f>
        <v>1877.5007999999998</v>
      </c>
      <c r="I1089" s="79"/>
      <c r="J1089" s="79"/>
      <c r="K1089" s="79"/>
      <c r="L1089" s="79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  <c r="Y1089" s="79"/>
      <c r="Z1089" s="79"/>
    </row>
    <row r="1090" spans="1:26" ht="25.5" customHeight="1">
      <c r="A1090" s="128">
        <v>60.3</v>
      </c>
      <c r="B1090" s="97" t="s">
        <v>684</v>
      </c>
      <c r="C1090" s="97" t="s">
        <v>125</v>
      </c>
      <c r="D1090" s="134" t="s">
        <v>686</v>
      </c>
      <c r="E1090" s="615">
        <v>1</v>
      </c>
      <c r="F1090" s="129"/>
      <c r="G1090" s="105">
        <f t="shared" si="77"/>
        <v>0</v>
      </c>
      <c r="H1090" s="79"/>
      <c r="I1090" s="79"/>
      <c r="J1090" s="79"/>
      <c r="K1090" s="79"/>
      <c r="L1090" s="79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  <c r="Y1090" s="79"/>
      <c r="Z1090" s="79"/>
    </row>
    <row r="1091" spans="1:26" ht="25.5" customHeight="1">
      <c r="A1091" s="128">
        <v>60.4</v>
      </c>
      <c r="B1091" s="97" t="s">
        <v>492</v>
      </c>
      <c r="C1091" s="97" t="s">
        <v>125</v>
      </c>
      <c r="D1091" s="134" t="s">
        <v>493</v>
      </c>
      <c r="E1091" s="615">
        <v>1</v>
      </c>
      <c r="F1091" s="129"/>
      <c r="G1091" s="105">
        <f t="shared" si="77"/>
        <v>0</v>
      </c>
      <c r="H1091" s="79"/>
      <c r="I1091" s="79"/>
      <c r="J1091" s="79"/>
      <c r="K1091" s="79"/>
      <c r="L1091" s="79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  <c r="Y1091" s="79"/>
      <c r="Z1091" s="79"/>
    </row>
    <row r="1092" spans="1:26" ht="25.5" customHeight="1">
      <c r="A1092" s="128">
        <v>60.5</v>
      </c>
      <c r="B1092" s="138">
        <v>79464</v>
      </c>
      <c r="C1092" s="138" t="s">
        <v>60</v>
      </c>
      <c r="D1092" s="132" t="s">
        <v>781</v>
      </c>
      <c r="E1092" s="615">
        <v>3.36</v>
      </c>
      <c r="F1092" s="139"/>
      <c r="G1092" s="139">
        <f t="shared" si="77"/>
        <v>0</v>
      </c>
      <c r="H1092" s="79"/>
      <c r="I1092" s="79"/>
      <c r="J1092" s="79"/>
      <c r="K1092" s="79"/>
      <c r="L1092" s="79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  <c r="Y1092" s="79"/>
      <c r="Z1092" s="79"/>
    </row>
    <row r="1093" spans="1:26" ht="25.5" customHeight="1">
      <c r="A1093" s="128">
        <v>60.6</v>
      </c>
      <c r="B1093" s="97">
        <v>88489</v>
      </c>
      <c r="C1093" s="97" t="s">
        <v>60</v>
      </c>
      <c r="D1093" s="134" t="s">
        <v>398</v>
      </c>
      <c r="E1093" s="615">
        <v>24.5</v>
      </c>
      <c r="F1093" s="129"/>
      <c r="G1093" s="105">
        <f t="shared" si="77"/>
        <v>0</v>
      </c>
      <c r="H1093" s="79"/>
      <c r="I1093" s="79"/>
      <c r="J1093" s="79"/>
      <c r="K1093" s="79"/>
      <c r="L1093" s="79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  <c r="Y1093" s="79"/>
      <c r="Z1093" s="79"/>
    </row>
    <row r="1094" spans="1:26" ht="25.5" customHeight="1">
      <c r="A1094" s="128">
        <v>60.7</v>
      </c>
      <c r="B1094" s="97">
        <v>88423</v>
      </c>
      <c r="C1094" s="97" t="s">
        <v>60</v>
      </c>
      <c r="D1094" s="134" t="s">
        <v>444</v>
      </c>
      <c r="E1094" s="129">
        <v>4</v>
      </c>
      <c r="F1094" s="129"/>
      <c r="G1094" s="105">
        <f t="shared" si="77"/>
        <v>0</v>
      </c>
      <c r="H1094" s="79"/>
      <c r="I1094" s="79"/>
      <c r="J1094" s="79"/>
      <c r="K1094" s="79"/>
      <c r="L1094" s="79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  <c r="Y1094" s="79"/>
      <c r="Z1094" s="79"/>
    </row>
    <row r="1095" spans="1:26" ht="38.25" customHeight="1">
      <c r="A1095" s="128">
        <v>60.8</v>
      </c>
      <c r="B1095" s="97" t="s">
        <v>105</v>
      </c>
      <c r="C1095" s="97" t="s">
        <v>70</v>
      </c>
      <c r="D1095" s="134" t="str">
        <f>'Composição de Custos '!D13</f>
        <v>CORRIMÃO EM AÇO GALVANIZADO Ø=3,8CM, DUPLO, H=92CM E 70CM, CONFORME INDICADO NO ITEM 6.7.16 DA NBR 9050/2004 INCLUÍDO FUNDO ANTICORROSIVO E PINTURA ESMALTE SINTÉTICO CONFORME DETALHADO NO PROJETO</v>
      </c>
      <c r="E1095" s="125">
        <v>32</v>
      </c>
      <c r="F1095" s="125"/>
      <c r="G1095" s="190">
        <f t="shared" ref="G1095:G1096" si="78">E1095*F1095</f>
        <v>0</v>
      </c>
      <c r="H1095" s="79"/>
      <c r="I1095" s="79"/>
      <c r="J1095" s="79"/>
      <c r="K1095" s="79"/>
      <c r="L1095" s="79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  <c r="Y1095" s="79"/>
      <c r="Z1095" s="79"/>
    </row>
    <row r="1096" spans="1:26" ht="25.5" customHeight="1">
      <c r="A1096" s="128">
        <v>60.9</v>
      </c>
      <c r="B1096" s="97" t="str">
        <f>'Composição de Custos '!A937</f>
        <v>C086</v>
      </c>
      <c r="C1096" s="97" t="s">
        <v>70</v>
      </c>
      <c r="D1096" s="137" t="str">
        <f>'Composição de Custos '!D937</f>
        <v>GUARDA-CORPO DE AÇO GALVANIZADO DE 1,10M, TRAVESSA SUPERIOR E INFERIOR DE 1.1/2", GRADIL FORMADO POR TUBOS  VERTICAIS DE 1", FIXADO COM ESPAÇAMENTO A CADA 10CM.</v>
      </c>
      <c r="E1096" s="123">
        <v>26</v>
      </c>
      <c r="F1096" s="123"/>
      <c r="G1096" s="105">
        <f t="shared" si="78"/>
        <v>0</v>
      </c>
      <c r="H1096" s="79"/>
      <c r="I1096" s="79"/>
      <c r="J1096" s="79"/>
      <c r="K1096" s="79"/>
      <c r="L1096" s="79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  <c r="Y1096" s="79"/>
      <c r="Z1096" s="79"/>
    </row>
    <row r="1097" spans="1:26" ht="12.75" customHeight="1">
      <c r="A1097" s="580">
        <v>60.1</v>
      </c>
      <c r="B1097" s="254" t="s">
        <v>147</v>
      </c>
      <c r="C1097" s="254" t="s">
        <v>60</v>
      </c>
      <c r="D1097" s="639" t="s">
        <v>148</v>
      </c>
      <c r="E1097" s="216">
        <v>26</v>
      </c>
      <c r="F1097" s="216"/>
      <c r="G1097" s="256">
        <f>F1097*E1097</f>
        <v>0</v>
      </c>
      <c r="H1097" s="79"/>
      <c r="I1097" s="79"/>
      <c r="J1097" s="79"/>
      <c r="K1097" s="79"/>
      <c r="L1097" s="79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  <c r="Y1097" s="79"/>
      <c r="Z1097" s="79"/>
    </row>
    <row r="1098" spans="1:26" ht="38.25" customHeight="1">
      <c r="A1098" s="128">
        <v>60.11</v>
      </c>
      <c r="B1098" s="97">
        <v>94995</v>
      </c>
      <c r="C1098" s="97" t="s">
        <v>60</v>
      </c>
      <c r="D1098" s="137" t="s">
        <v>81</v>
      </c>
      <c r="E1098" s="123">
        <v>12.2</v>
      </c>
      <c r="F1098" s="123"/>
      <c r="G1098" s="105">
        <f t="shared" ref="G1098:G1099" si="79">E1098*F1098</f>
        <v>0</v>
      </c>
      <c r="H1098" s="79"/>
      <c r="I1098" s="79"/>
      <c r="J1098" s="79"/>
      <c r="K1098" s="79"/>
      <c r="L1098" s="79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  <c r="Y1098" s="79"/>
      <c r="Z1098" s="79"/>
    </row>
    <row r="1099" spans="1:26" ht="25.5" customHeight="1">
      <c r="A1099" s="580">
        <v>60.12</v>
      </c>
      <c r="B1099" s="97" t="s">
        <v>161</v>
      </c>
      <c r="C1099" s="97" t="s">
        <v>60</v>
      </c>
      <c r="D1099" s="137" t="str">
        <f>'Composição de Custos '!D52</f>
        <v>INSTALAÇÃO DE LADRILHO HIDRAULICO TÁTIIL DIRECIONAL OU ALERTA 25X25 COR AMARELA  (ÁREA EXTERNA), INCLUSIVE EXECUÇÃO DE RASGOS NO PISO EXISTENTE PARA ENCAIXE DAS PEÇAS.</v>
      </c>
      <c r="E1099" s="123">
        <v>0.56999999999999995</v>
      </c>
      <c r="F1099" s="123"/>
      <c r="G1099" s="105">
        <f t="shared" si="79"/>
        <v>0</v>
      </c>
      <c r="H1099" s="79"/>
      <c r="I1099" s="79"/>
      <c r="J1099" s="79"/>
      <c r="K1099" s="79"/>
      <c r="L1099" s="79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  <c r="Y1099" s="79"/>
      <c r="Z1099" s="79"/>
    </row>
    <row r="1100" spans="1:26" ht="12.75" customHeight="1">
      <c r="A1100" s="128">
        <v>60.13</v>
      </c>
      <c r="B1100" s="97">
        <v>72897</v>
      </c>
      <c r="C1100" s="211" t="s">
        <v>82</v>
      </c>
      <c r="D1100" s="325" t="s">
        <v>83</v>
      </c>
      <c r="E1100" s="216">
        <v>4</v>
      </c>
      <c r="F1100" s="216"/>
      <c r="G1100" s="105">
        <f t="shared" ref="G1100:G1109" si="80">F1100*E1100</f>
        <v>0</v>
      </c>
      <c r="H1100" s="79"/>
      <c r="I1100" s="79"/>
      <c r="J1100" s="79"/>
      <c r="K1100" s="79"/>
      <c r="L1100" s="79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  <c r="Y1100" s="79"/>
      <c r="Z1100" s="79"/>
    </row>
    <row r="1101" spans="1:26" ht="12.75" customHeight="1">
      <c r="A1101" s="580">
        <v>60.14</v>
      </c>
      <c r="B1101" s="133" t="s">
        <v>385</v>
      </c>
      <c r="C1101" s="324" t="s">
        <v>60</v>
      </c>
      <c r="D1101" s="325" t="s">
        <v>736</v>
      </c>
      <c r="E1101" s="345">
        <v>33.61</v>
      </c>
      <c r="F1101" s="345"/>
      <c r="G1101" s="136">
        <f t="shared" si="80"/>
        <v>0</v>
      </c>
      <c r="H1101" s="79"/>
      <c r="I1101" s="79"/>
      <c r="J1101" s="79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</row>
    <row r="1102" spans="1:26" ht="27" customHeight="1">
      <c r="A1102" s="128">
        <v>60.15</v>
      </c>
      <c r="B1102" s="133">
        <v>87879</v>
      </c>
      <c r="C1102" s="324" t="s">
        <v>60</v>
      </c>
      <c r="D1102" s="325" t="s">
        <v>794</v>
      </c>
      <c r="E1102" s="345">
        <v>45.6</v>
      </c>
      <c r="F1102" s="345"/>
      <c r="G1102" s="136">
        <f t="shared" si="80"/>
        <v>0</v>
      </c>
      <c r="H1102" s="79"/>
      <c r="I1102" s="79"/>
      <c r="J1102" s="79"/>
      <c r="K1102" s="79"/>
      <c r="L1102" s="79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  <c r="Y1102" s="79"/>
      <c r="Z1102" s="79"/>
    </row>
    <row r="1103" spans="1:26" ht="25.5" customHeight="1">
      <c r="A1103" s="580">
        <v>60.16</v>
      </c>
      <c r="B1103" s="133">
        <v>97645</v>
      </c>
      <c r="C1103" s="133" t="s">
        <v>60</v>
      </c>
      <c r="D1103" s="134" t="s">
        <v>783</v>
      </c>
      <c r="E1103" s="615">
        <v>1.4</v>
      </c>
      <c r="F1103" s="135"/>
      <c r="G1103" s="136">
        <f t="shared" si="80"/>
        <v>0</v>
      </c>
      <c r="H1103" s="79"/>
      <c r="I1103" s="79"/>
      <c r="J1103" s="79"/>
      <c r="K1103" s="79"/>
      <c r="L1103" s="79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  <c r="Y1103" s="79"/>
      <c r="Z1103" s="79"/>
    </row>
    <row r="1104" spans="1:26" ht="25.5" customHeight="1">
      <c r="A1104" s="128">
        <v>60.169999999999902</v>
      </c>
      <c r="B1104" s="133">
        <v>88497</v>
      </c>
      <c r="C1104" s="133" t="s">
        <v>60</v>
      </c>
      <c r="D1104" s="134" t="s">
        <v>788</v>
      </c>
      <c r="E1104" s="615">
        <v>24.5</v>
      </c>
      <c r="F1104" s="135"/>
      <c r="G1104" s="136">
        <f t="shared" si="80"/>
        <v>0</v>
      </c>
      <c r="H1104" s="79"/>
      <c r="I1104" s="79"/>
      <c r="J1104" s="79"/>
      <c r="K1104" s="79"/>
      <c r="L1104" s="79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  <c r="Y1104" s="79"/>
      <c r="Z1104" s="79"/>
    </row>
    <row r="1105" spans="1:26" ht="25.5" customHeight="1">
      <c r="A1105" s="580">
        <v>60.1799999999999</v>
      </c>
      <c r="B1105" s="124">
        <v>97644</v>
      </c>
      <c r="C1105" s="124" t="s">
        <v>60</v>
      </c>
      <c r="D1105" s="132" t="s">
        <v>800</v>
      </c>
      <c r="E1105" s="615">
        <v>5.7</v>
      </c>
      <c r="F1105" s="129"/>
      <c r="G1105" s="105">
        <f t="shared" si="80"/>
        <v>0</v>
      </c>
      <c r="H1105" s="79"/>
      <c r="I1105" s="79"/>
      <c r="J1105" s="79"/>
      <c r="K1105" s="79"/>
      <c r="L1105" s="79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  <c r="Y1105" s="79"/>
      <c r="Z1105" s="79"/>
    </row>
    <row r="1106" spans="1:26" ht="25.5" customHeight="1">
      <c r="A1106" s="128">
        <v>60.189999999999898</v>
      </c>
      <c r="B1106" s="133">
        <v>87529</v>
      </c>
      <c r="C1106" s="324" t="s">
        <v>60</v>
      </c>
      <c r="D1106" s="325" t="s">
        <v>787</v>
      </c>
      <c r="E1106" s="615">
        <v>24.5</v>
      </c>
      <c r="F1106" s="345"/>
      <c r="G1106" s="136">
        <f t="shared" si="80"/>
        <v>0</v>
      </c>
      <c r="H1106" s="79"/>
      <c r="I1106" s="79"/>
      <c r="J1106" s="79"/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  <c r="Y1106" s="79"/>
      <c r="Z1106" s="79"/>
    </row>
    <row r="1107" spans="1:26" ht="39" customHeight="1">
      <c r="A1107" s="580">
        <v>60.199999999999903</v>
      </c>
      <c r="B1107" s="133">
        <v>87503</v>
      </c>
      <c r="C1107" s="133" t="s">
        <v>60</v>
      </c>
      <c r="D1107" s="134" t="s">
        <v>435</v>
      </c>
      <c r="E1107" s="615">
        <v>24.5</v>
      </c>
      <c r="F1107" s="135"/>
      <c r="G1107" s="136">
        <f t="shared" si="80"/>
        <v>0</v>
      </c>
      <c r="H1107" s="79"/>
      <c r="I1107" s="79"/>
      <c r="J1107" s="79"/>
      <c r="K1107" s="79"/>
      <c r="L1107" s="79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  <c r="Y1107" s="79"/>
      <c r="Z1107" s="79"/>
    </row>
    <row r="1108" spans="1:26" ht="12.75" customHeight="1">
      <c r="A1108" s="128">
        <v>60.209999999999901</v>
      </c>
      <c r="B1108" s="133" t="s">
        <v>599</v>
      </c>
      <c r="C1108" s="324" t="s">
        <v>125</v>
      </c>
      <c r="D1108" s="325" t="s">
        <v>600</v>
      </c>
      <c r="E1108" s="345">
        <v>3</v>
      </c>
      <c r="F1108" s="345"/>
      <c r="G1108" s="136">
        <f t="shared" si="80"/>
        <v>0</v>
      </c>
      <c r="H1108" s="79"/>
      <c r="I1108" s="79"/>
      <c r="J1108" s="79"/>
      <c r="K1108" s="79"/>
      <c r="L1108" s="79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  <c r="Y1108" s="79"/>
      <c r="Z1108" s="79"/>
    </row>
    <row r="1109" spans="1:26" ht="12.75" customHeight="1">
      <c r="A1109" s="580">
        <v>60.219999999999899</v>
      </c>
      <c r="B1109" s="133" t="s">
        <v>601</v>
      </c>
      <c r="C1109" s="324" t="s">
        <v>70</v>
      </c>
      <c r="D1109" s="325" t="s">
        <v>602</v>
      </c>
      <c r="E1109" s="345">
        <v>24.3</v>
      </c>
      <c r="F1109" s="345"/>
      <c r="G1109" s="136">
        <f t="shared" si="80"/>
        <v>0</v>
      </c>
      <c r="H1109" s="79"/>
      <c r="I1109" s="79"/>
      <c r="J1109" s="79"/>
      <c r="K1109" s="79"/>
      <c r="L1109" s="79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  <c r="Y1109" s="79"/>
      <c r="Z1109" s="79"/>
    </row>
    <row r="1110" spans="1:26" ht="12.75" customHeight="1">
      <c r="A1110" s="128">
        <v>60.229999999999897</v>
      </c>
      <c r="B1110" s="133" t="s">
        <v>593</v>
      </c>
      <c r="C1110" s="324" t="s">
        <v>82</v>
      </c>
      <c r="D1110" s="325" t="s">
        <v>801</v>
      </c>
      <c r="E1110" s="345">
        <v>1</v>
      </c>
      <c r="F1110" s="345"/>
      <c r="G1110" s="136">
        <v>0</v>
      </c>
      <c r="H1110" s="79"/>
      <c r="I1110" s="79"/>
      <c r="J1110" s="79"/>
      <c r="K1110" s="79"/>
      <c r="L1110" s="79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  <c r="Y1110" s="79"/>
      <c r="Z1110" s="79"/>
    </row>
    <row r="1111" spans="1:26" ht="12.75" customHeight="1">
      <c r="A1111" s="580">
        <v>60.239999999999903</v>
      </c>
      <c r="B1111" s="133">
        <v>99803</v>
      </c>
      <c r="C1111" s="133" t="s">
        <v>82</v>
      </c>
      <c r="D1111" s="263" t="s">
        <v>570</v>
      </c>
      <c r="E1111" s="135">
        <v>20</v>
      </c>
      <c r="F1111" s="615"/>
      <c r="G1111" s="136">
        <f>F1111*E1111</f>
        <v>0</v>
      </c>
      <c r="H1111" s="79"/>
      <c r="I1111" s="79"/>
      <c r="J1111" s="79"/>
      <c r="K1111" s="79"/>
      <c r="L1111" s="79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</row>
    <row r="1112" spans="1:26" ht="14.25" customHeight="1">
      <c r="A1112" s="454"/>
      <c r="B1112" s="455"/>
      <c r="C1112" s="185"/>
      <c r="D1112" s="702" t="s">
        <v>84</v>
      </c>
      <c r="E1112" s="703"/>
      <c r="F1112" s="704"/>
      <c r="G1112" s="230">
        <f>SUM(G1088:G1111)</f>
        <v>0</v>
      </c>
      <c r="H1112" s="79"/>
      <c r="I1112" s="79"/>
      <c r="J1112" s="79"/>
      <c r="K1112" s="79"/>
      <c r="L1112" s="79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  <c r="Y1112" s="79"/>
      <c r="Z1112" s="79"/>
    </row>
    <row r="1113" spans="1:26" ht="14.25" customHeight="1">
      <c r="A1113" s="95">
        <v>61</v>
      </c>
      <c r="B1113" s="696" t="s">
        <v>802</v>
      </c>
      <c r="C1113" s="682"/>
      <c r="D1113" s="682"/>
      <c r="E1113" s="682"/>
      <c r="F1113" s="682"/>
      <c r="G1113" s="683"/>
      <c r="H1113" s="79"/>
      <c r="I1113" s="79"/>
      <c r="J1113" s="79"/>
      <c r="K1113" s="79"/>
      <c r="L1113" s="79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  <c r="Y1113" s="79"/>
      <c r="Z1113" s="79"/>
    </row>
    <row r="1114" spans="1:26" ht="45.75" customHeight="1">
      <c r="A1114" s="128">
        <v>61.1</v>
      </c>
      <c r="B1114" s="124" t="s">
        <v>151</v>
      </c>
      <c r="C1114" s="124" t="s">
        <v>70</v>
      </c>
      <c r="D1114" s="279" t="str">
        <f>'Composição de Custos '!D186</f>
        <v>EXECUÇÃO DE GUIA DE BALIZAMENTO EM CONCRETO MOLDADO IN LOCO,  ARMADURA 6.3MM, LARGURA 15 CM E ALTURA 5 CM., INCLUSIVE PINTURA COM TINTA ACRÍLICA PARA PISO CIMENTADO 2 DEMÃOS.</v>
      </c>
      <c r="E1114" s="456">
        <f>60/0.91</f>
        <v>65.934065934065927</v>
      </c>
      <c r="F1114" s="129"/>
      <c r="G1114" s="105">
        <f t="shared" ref="G1114:G1120" si="81">F1114*E1114</f>
        <v>0</v>
      </c>
      <c r="H1114" s="79"/>
      <c r="I1114" s="79"/>
      <c r="J1114" s="79"/>
      <c r="K1114" s="79"/>
      <c r="L1114" s="79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  <c r="Y1114" s="79"/>
      <c r="Z1114" s="79"/>
    </row>
    <row r="1115" spans="1:26" ht="16.5" customHeight="1">
      <c r="A1115" s="128">
        <v>61.2</v>
      </c>
      <c r="B1115" s="97" t="s">
        <v>497</v>
      </c>
      <c r="C1115" s="211" t="s">
        <v>70</v>
      </c>
      <c r="D1115" s="213" t="str">
        <f>'Composição de Custos '!D546</f>
        <v>ADEQUAÇÃO TUBOS DE AÇO INOX  D= 3,8 EM CORRIMAO E GUARDA-CORPO</v>
      </c>
      <c r="E1115" s="216">
        <f>((30*2)/0.9)+(12.9*2)</f>
        <v>92.466666666666669</v>
      </c>
      <c r="F1115" s="216"/>
      <c r="G1115" s="105">
        <f t="shared" si="81"/>
        <v>0</v>
      </c>
      <c r="H1115" s="79"/>
      <c r="I1115" s="79"/>
      <c r="J1115" s="79"/>
      <c r="K1115" s="79"/>
      <c r="L1115" s="79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  <c r="Y1115" s="79"/>
      <c r="Z1115" s="79"/>
    </row>
    <row r="1116" spans="1:26" ht="25.5" customHeight="1">
      <c r="A1116" s="128">
        <v>61.3</v>
      </c>
      <c r="B1116" s="124" t="s">
        <v>136</v>
      </c>
      <c r="C1116" s="124" t="s">
        <v>45</v>
      </c>
      <c r="D1116" s="343" t="str">
        <f>'Composição de Custos '!D27</f>
        <v>SINALIZAÇÃO EM BRAILE EM ALUMÍNIO AUTO ADESIVO (100X30) MM COM ESP. 0,25MM - INDICA O PAVIMENTO</v>
      </c>
      <c r="E1116" s="129">
        <v>8</v>
      </c>
      <c r="F1116" s="129"/>
      <c r="G1116" s="105">
        <f t="shared" si="81"/>
        <v>0</v>
      </c>
      <c r="H1116" s="79"/>
      <c r="I1116" s="79"/>
      <c r="J1116" s="79"/>
      <c r="K1116" s="79"/>
      <c r="L1116" s="79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  <c r="Y1116" s="79"/>
      <c r="Z1116" s="79"/>
    </row>
    <row r="1117" spans="1:26" ht="12.75" customHeight="1">
      <c r="A1117" s="128">
        <v>61.4</v>
      </c>
      <c r="B1117" s="97">
        <v>72897</v>
      </c>
      <c r="C1117" s="211" t="s">
        <v>82</v>
      </c>
      <c r="D1117" s="213" t="s">
        <v>83</v>
      </c>
      <c r="E1117" s="216">
        <v>4</v>
      </c>
      <c r="F1117" s="216"/>
      <c r="G1117" s="105">
        <f t="shared" si="81"/>
        <v>0</v>
      </c>
      <c r="H1117" s="79"/>
      <c r="I1117" s="79"/>
      <c r="J1117" s="79"/>
      <c r="K1117" s="79"/>
      <c r="L1117" s="79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  <c r="Y1117" s="79"/>
      <c r="Z1117" s="79"/>
    </row>
    <row r="1118" spans="1:26" ht="12.75" customHeight="1">
      <c r="A1118" s="132">
        <v>61.5</v>
      </c>
      <c r="B1118" s="133">
        <v>88423</v>
      </c>
      <c r="C1118" s="324" t="s">
        <v>60</v>
      </c>
      <c r="D1118" s="325" t="s">
        <v>444</v>
      </c>
      <c r="E1118" s="345">
        <v>20.09</v>
      </c>
      <c r="F1118" s="345"/>
      <c r="G1118" s="136">
        <f t="shared" si="81"/>
        <v>0</v>
      </c>
      <c r="H1118" s="79"/>
      <c r="I1118" s="79"/>
      <c r="J1118" s="79"/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  <c r="Y1118" s="79"/>
      <c r="Z1118" s="79"/>
    </row>
    <row r="1119" spans="1:26" ht="27" customHeight="1">
      <c r="A1119" s="128">
        <v>61.6</v>
      </c>
      <c r="B1119" s="97" t="s">
        <v>147</v>
      </c>
      <c r="C1119" s="97" t="s">
        <v>60</v>
      </c>
      <c r="D1119" s="122" t="s">
        <v>803</v>
      </c>
      <c r="E1119" s="615">
        <f>30*2*1.1+10</f>
        <v>76</v>
      </c>
      <c r="F1119" s="615"/>
      <c r="G1119" s="105">
        <f t="shared" si="81"/>
        <v>0</v>
      </c>
      <c r="H1119" s="79"/>
      <c r="I1119" s="79"/>
      <c r="J1119" s="79"/>
      <c r="K1119" s="79"/>
      <c r="L1119" s="79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  <c r="Y1119" s="79"/>
      <c r="Z1119" s="79"/>
    </row>
    <row r="1120" spans="1:26" ht="12.75" customHeight="1">
      <c r="A1120" s="132">
        <v>61.7</v>
      </c>
      <c r="B1120" s="133">
        <v>99814</v>
      </c>
      <c r="C1120" s="133" t="s">
        <v>60</v>
      </c>
      <c r="D1120" s="263" t="s">
        <v>104</v>
      </c>
      <c r="E1120" s="135">
        <v>80</v>
      </c>
      <c r="F1120" s="135"/>
      <c r="G1120" s="136">
        <f t="shared" si="81"/>
        <v>0</v>
      </c>
      <c r="H1120" s="79"/>
      <c r="I1120" s="79"/>
      <c r="J1120" s="79"/>
      <c r="K1120" s="79"/>
      <c r="L1120" s="79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  <c r="Y1120" s="79"/>
      <c r="Z1120" s="79"/>
    </row>
    <row r="1121" spans="1:26" ht="14.25" customHeight="1">
      <c r="A1121" s="454"/>
      <c r="B1121" s="455"/>
      <c r="C1121" s="185"/>
      <c r="D1121" s="702" t="s">
        <v>84</v>
      </c>
      <c r="E1121" s="703"/>
      <c r="F1121" s="704"/>
      <c r="G1121" s="230">
        <f>SUM(G1114:G1120)</f>
        <v>0</v>
      </c>
      <c r="H1121" s="79"/>
      <c r="I1121" s="79"/>
      <c r="J1121" s="79"/>
      <c r="K1121" s="79"/>
      <c r="L1121" s="79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  <c r="Y1121" s="79"/>
      <c r="Z1121" s="79"/>
    </row>
    <row r="1122" spans="1:26" ht="27.75" customHeight="1">
      <c r="A1122" s="115"/>
      <c r="B1122" s="116"/>
      <c r="C1122" s="116"/>
      <c r="D1122" s="117" t="s">
        <v>804</v>
      </c>
      <c r="E1122" s="118"/>
      <c r="F1122" s="119"/>
      <c r="G1122" s="119">
        <f>G1121+G1112+G1086+G1061+G1045+G1034+G1012+G993+G965+G941+G917+G895+G867+G828+G816+G800+G782+G766+G840</f>
        <v>0</v>
      </c>
      <c r="H1122" s="79"/>
      <c r="I1122" s="79"/>
      <c r="J1122" s="120" t="e">
        <f>SUM(J29:J1116)</f>
        <v>#REF!</v>
      </c>
      <c r="K1122" s="79"/>
      <c r="L1122" s="79" t="e">
        <f>J1122*1.24</f>
        <v>#REF!</v>
      </c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  <c r="Y1122" s="79"/>
      <c r="Z1122" s="79"/>
    </row>
    <row r="1123" spans="1:26" ht="12.75" customHeight="1">
      <c r="A1123" s="115"/>
      <c r="B1123" s="116"/>
      <c r="C1123" s="116"/>
      <c r="D1123" s="117" t="s">
        <v>76</v>
      </c>
      <c r="E1123" s="640">
        <f>BDI!D16/100</f>
        <v>0</v>
      </c>
      <c r="F1123" s="119"/>
      <c r="G1123" s="119">
        <f>G1122*E1123</f>
        <v>0</v>
      </c>
      <c r="H1123" s="79"/>
      <c r="I1123" s="79"/>
      <c r="J1123" s="79"/>
      <c r="K1123" s="79"/>
      <c r="L1123" s="79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  <c r="Y1123" s="79"/>
      <c r="Z1123" s="79"/>
    </row>
    <row r="1124" spans="1:26" ht="12.75" customHeight="1">
      <c r="A1124" s="115"/>
      <c r="B1124" s="116"/>
      <c r="C1124" s="116"/>
      <c r="D1124" s="117" t="s">
        <v>805</v>
      </c>
      <c r="E1124" s="118"/>
      <c r="F1124" s="119"/>
      <c r="G1124" s="119">
        <f>G1122+G1123</f>
        <v>0</v>
      </c>
      <c r="H1124" s="79"/>
      <c r="I1124" s="79"/>
      <c r="J1124" s="79"/>
      <c r="K1124" s="79"/>
      <c r="L1124" s="79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  <c r="Y1124" s="79"/>
      <c r="Z1124" s="79"/>
    </row>
    <row r="1125" spans="1:26" ht="12.75" customHeight="1">
      <c r="A1125" s="641"/>
      <c r="B1125" s="642"/>
      <c r="C1125" s="642"/>
      <c r="D1125" s="643"/>
      <c r="E1125" s="644"/>
      <c r="F1125" s="645"/>
      <c r="G1125" s="645"/>
      <c r="H1125" s="79"/>
      <c r="I1125" s="79"/>
      <c r="J1125" s="79"/>
      <c r="K1125" s="79"/>
      <c r="L1125" s="79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  <c r="Y1125" s="79"/>
      <c r="Z1125" s="79"/>
    </row>
    <row r="1126" spans="1:26" ht="12.75" customHeight="1">
      <c r="A1126" s="646"/>
      <c r="B1126" s="647"/>
      <c r="C1126" s="647"/>
      <c r="D1126" s="648"/>
      <c r="E1126" s="649"/>
      <c r="F1126" s="650"/>
      <c r="G1126" s="650"/>
      <c r="H1126" s="79"/>
      <c r="I1126" s="79"/>
      <c r="J1126" s="79"/>
      <c r="K1126" s="79"/>
      <c r="L1126" s="79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  <c r="Y1126" s="79"/>
      <c r="Z1126" s="79"/>
    </row>
    <row r="1127" spans="1:26" ht="18" customHeight="1">
      <c r="A1127" s="651"/>
      <c r="B1127" s="652"/>
      <c r="C1127" s="652"/>
      <c r="D1127" s="653" t="s">
        <v>806</v>
      </c>
      <c r="E1127" s="654"/>
      <c r="F1127" s="724">
        <f>G1124+G749+G404+G268+G121+G31</f>
        <v>0</v>
      </c>
      <c r="G1127" s="683"/>
      <c r="H1127" s="79"/>
      <c r="I1127" s="79"/>
      <c r="J1127" s="79"/>
      <c r="K1127" s="79"/>
      <c r="L1127" s="79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  <c r="Y1127" s="79"/>
      <c r="Z1127" s="79"/>
    </row>
    <row r="1128" spans="1:26" ht="12.75" customHeight="1">
      <c r="A1128" s="86"/>
      <c r="B1128" s="655"/>
      <c r="C1128" s="655"/>
      <c r="D1128" s="87"/>
      <c r="E1128" s="88"/>
      <c r="F1128" s="88"/>
      <c r="G1128" s="656"/>
      <c r="H1128" s="79"/>
      <c r="I1128" s="79"/>
      <c r="J1128" s="79"/>
      <c r="K1128" s="79"/>
      <c r="L1128" s="79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</row>
    <row r="1129" spans="1:26" ht="12.75" customHeight="1">
      <c r="A1129" s="68"/>
      <c r="B1129" s="80"/>
      <c r="C1129" s="80"/>
      <c r="D1129" s="31"/>
      <c r="E1129" s="81"/>
      <c r="F1129" s="81"/>
      <c r="G1129" s="81"/>
      <c r="H1129" s="79"/>
      <c r="I1129" s="79"/>
      <c r="J1129" s="79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  <c r="Y1129" s="79"/>
      <c r="Z1129" s="79"/>
    </row>
    <row r="1130" spans="1:26" ht="12.75" customHeight="1">
      <c r="A1130" s="657"/>
      <c r="B1130" s="658"/>
      <c r="C1130" s="657"/>
      <c r="D1130" s="657"/>
      <c r="E1130" s="659"/>
      <c r="F1130" s="659"/>
      <c r="G1130" s="659"/>
      <c r="H1130" s="79"/>
      <c r="I1130" s="79"/>
      <c r="J1130" s="79"/>
      <c r="K1130" s="79"/>
      <c r="L1130" s="79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  <c r="Y1130" s="79"/>
      <c r="Z1130" s="79"/>
    </row>
    <row r="1131" spans="1:26" ht="12.75" customHeight="1">
      <c r="A1131" s="68"/>
      <c r="B1131" s="80"/>
      <c r="C1131" s="80"/>
      <c r="D1131" s="31"/>
      <c r="E1131" s="81"/>
      <c r="F1131" s="81"/>
      <c r="G1131" s="81"/>
      <c r="H1131" s="79"/>
      <c r="I1131" s="79"/>
      <c r="J1131" s="79"/>
      <c r="K1131" s="79"/>
      <c r="L1131" s="79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  <c r="Y1131" s="79"/>
      <c r="Z1131" s="79"/>
    </row>
    <row r="1132" spans="1:26" ht="15" customHeight="1">
      <c r="A1132" s="68"/>
      <c r="B1132" s="80"/>
      <c r="C1132" s="80"/>
      <c r="D1132" s="31"/>
      <c r="E1132" s="81"/>
      <c r="F1132" s="81"/>
      <c r="G1132" s="81"/>
      <c r="H1132" s="79"/>
      <c r="I1132" s="79"/>
      <c r="J1132" s="79"/>
      <c r="K1132" s="79"/>
      <c r="L1132" s="79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  <c r="Y1132" s="79"/>
      <c r="Z1132" s="79"/>
    </row>
    <row r="1133" spans="1:26" ht="12.75" customHeight="1">
      <c r="A1133" s="68"/>
      <c r="B1133" s="80"/>
      <c r="C1133" s="80"/>
      <c r="D1133" s="31"/>
      <c r="E1133" s="81"/>
      <c r="F1133" s="81"/>
      <c r="G1133" s="8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ht="12.75" customHeight="1">
      <c r="A1134" s="68"/>
      <c r="B1134" s="80"/>
      <c r="C1134" s="80"/>
      <c r="D1134" s="31"/>
      <c r="E1134" s="81"/>
      <c r="F1134" s="81"/>
      <c r="G1134" s="8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ht="12.75" customHeight="1">
      <c r="A1135" s="68"/>
      <c r="B1135" s="679" t="s">
        <v>807</v>
      </c>
      <c r="C1135" s="669"/>
      <c r="D1135" s="669"/>
      <c r="E1135" s="669"/>
      <c r="F1135" s="669"/>
      <c r="G1135" s="669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ht="12.75" customHeight="1">
      <c r="A1136" s="68"/>
      <c r="B1136" s="723" t="e">
        <f>#REF!</f>
        <v>#REF!</v>
      </c>
      <c r="C1136" s="669"/>
      <c r="D1136" s="669"/>
      <c r="E1136" s="669"/>
      <c r="F1136" s="669"/>
      <c r="G1136" s="669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ht="12.75" customHeight="1">
      <c r="A1137" s="68"/>
      <c r="B1137" s="723" t="e">
        <f>#REF!</f>
        <v>#REF!</v>
      </c>
      <c r="C1137" s="669"/>
      <c r="D1137" s="669"/>
      <c r="E1137" s="669"/>
      <c r="F1137" s="669"/>
      <c r="G1137" s="669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ht="12.75" customHeight="1">
      <c r="A1138" s="68"/>
      <c r="B1138" s="723" t="e">
        <f>#REF!</f>
        <v>#REF!</v>
      </c>
      <c r="C1138" s="669"/>
      <c r="D1138" s="669"/>
      <c r="E1138" s="669"/>
      <c r="F1138" s="669"/>
      <c r="G1138" s="669"/>
      <c r="H1138" s="660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</sheetData>
  <mergeCells count="135">
    <mergeCell ref="D1034:F1034"/>
    <mergeCell ref="D1061:F1061"/>
    <mergeCell ref="B251:G251"/>
    <mergeCell ref="B318:G318"/>
    <mergeCell ref="D260:F260"/>
    <mergeCell ref="B358:G358"/>
    <mergeCell ref="B331:G331"/>
    <mergeCell ref="B673:G673"/>
    <mergeCell ref="B692:G692"/>
    <mergeCell ref="D691:F691"/>
    <mergeCell ref="D711:F711"/>
    <mergeCell ref="B712:G712"/>
    <mergeCell ref="D816:F816"/>
    <mergeCell ref="D828:F828"/>
    <mergeCell ref="D317:F317"/>
    <mergeCell ref="D330:F330"/>
    <mergeCell ref="B481:G481"/>
    <mergeCell ref="B540:G540"/>
    <mergeCell ref="B735:G735"/>
    <mergeCell ref="B607:G607"/>
    <mergeCell ref="B346:G346"/>
    <mergeCell ref="D345:F345"/>
    <mergeCell ref="B270:G270"/>
    <mergeCell ref="D265:F265"/>
    <mergeCell ref="B294:G294"/>
    <mergeCell ref="D293:F293"/>
    <mergeCell ref="D492:F492"/>
    <mergeCell ref="B493:G493"/>
    <mergeCell ref="D363:F363"/>
    <mergeCell ref="B364:G364"/>
    <mergeCell ref="D480:F480"/>
    <mergeCell ref="B464:G464"/>
    <mergeCell ref="D401:F401"/>
    <mergeCell ref="D443:F443"/>
    <mergeCell ref="B444:G444"/>
    <mergeCell ref="D429:F429"/>
    <mergeCell ref="D357:F357"/>
    <mergeCell ref="B1013:G1013"/>
    <mergeCell ref="B1138:G1138"/>
    <mergeCell ref="D1012:F1012"/>
    <mergeCell ref="D1121:F1121"/>
    <mergeCell ref="F1127:G1127"/>
    <mergeCell ref="B1062:G1062"/>
    <mergeCell ref="B942:G942"/>
    <mergeCell ref="D867:F867"/>
    <mergeCell ref="B896:G896"/>
    <mergeCell ref="B918:G918"/>
    <mergeCell ref="D917:F917"/>
    <mergeCell ref="B1137:G1137"/>
    <mergeCell ref="B1135:G1135"/>
    <mergeCell ref="B1136:G1136"/>
    <mergeCell ref="B1087:G1087"/>
    <mergeCell ref="D1086:F1086"/>
    <mergeCell ref="D1045:F1045"/>
    <mergeCell ref="B1046:G1046"/>
    <mergeCell ref="B1035:G1035"/>
    <mergeCell ref="B994:G994"/>
    <mergeCell ref="B966:G966"/>
    <mergeCell ref="B1113:G1113"/>
    <mergeCell ref="D1112:F1112"/>
    <mergeCell ref="D941:F941"/>
    <mergeCell ref="B817:G817"/>
    <mergeCell ref="B868:G868"/>
    <mergeCell ref="A750:G750"/>
    <mergeCell ref="D672:F672"/>
    <mergeCell ref="B632:G632"/>
    <mergeCell ref="D606:F606"/>
    <mergeCell ref="D631:F631"/>
    <mergeCell ref="D993:F993"/>
    <mergeCell ref="D965:F965"/>
    <mergeCell ref="D746:F746"/>
    <mergeCell ref="D766:F766"/>
    <mergeCell ref="B829:G829"/>
    <mergeCell ref="B841:G841"/>
    <mergeCell ref="D840:F840"/>
    <mergeCell ref="B751:G751"/>
    <mergeCell ref="D734:F734"/>
    <mergeCell ref="B654:G654"/>
    <mergeCell ref="D653:F653"/>
    <mergeCell ref="B767:G767"/>
    <mergeCell ref="D782:F782"/>
    <mergeCell ref="B801:G801"/>
    <mergeCell ref="B784:G784"/>
    <mergeCell ref="D800:F800"/>
    <mergeCell ref="D895:F895"/>
    <mergeCell ref="D516:F516"/>
    <mergeCell ref="B517:G517"/>
    <mergeCell ref="A405:G405"/>
    <mergeCell ref="D539:F539"/>
    <mergeCell ref="D463:F463"/>
    <mergeCell ref="B406:G406"/>
    <mergeCell ref="B430:G430"/>
    <mergeCell ref="D571:F571"/>
    <mergeCell ref="B572:G572"/>
    <mergeCell ref="D250:F250"/>
    <mergeCell ref="A269:G269"/>
    <mergeCell ref="B224:G224"/>
    <mergeCell ref="B54:G54"/>
    <mergeCell ref="B97:G97"/>
    <mergeCell ref="D96:F96"/>
    <mergeCell ref="D69:F69"/>
    <mergeCell ref="B70:G70"/>
    <mergeCell ref="D118:F118"/>
    <mergeCell ref="D223:F223"/>
    <mergeCell ref="B261:G261"/>
    <mergeCell ref="D160:F160"/>
    <mergeCell ref="B143:G143"/>
    <mergeCell ref="A122:G122"/>
    <mergeCell ref="B123:G123"/>
    <mergeCell ref="D142:F142"/>
    <mergeCell ref="D111:F111"/>
    <mergeCell ref="B112:G112"/>
    <mergeCell ref="D73:F73"/>
    <mergeCell ref="D53:F53"/>
    <mergeCell ref="B39:G39"/>
    <mergeCell ref="D38:F38"/>
    <mergeCell ref="B74:G74"/>
    <mergeCell ref="B194:G194"/>
    <mergeCell ref="B161:G161"/>
    <mergeCell ref="D193:F193"/>
    <mergeCell ref="D44:F44"/>
    <mergeCell ref="B45:G45"/>
    <mergeCell ref="A6:G6"/>
    <mergeCell ref="B12:G12"/>
    <mergeCell ref="B16:G16"/>
    <mergeCell ref="D15:F15"/>
    <mergeCell ref="B10:C10"/>
    <mergeCell ref="B33:G33"/>
    <mergeCell ref="A7:G7"/>
    <mergeCell ref="A9:C9"/>
    <mergeCell ref="E9:G9"/>
    <mergeCell ref="A8:D8"/>
    <mergeCell ref="E8:G8"/>
    <mergeCell ref="D28:F28"/>
    <mergeCell ref="A32:G32"/>
  </mergeCells>
  <pageMargins left="0.70866141732283472" right="0.70866141732283472" top="0.74803149606299213" bottom="0.74803149606299213" header="0" footer="0"/>
  <pageSetup paperSize="9" orientation="portrait"/>
  <colBreaks count="2" manualBreakCount="2">
    <brk id="7" man="1"/>
    <brk id="11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39"/>
  <sheetViews>
    <sheetView showGridLines="0" workbookViewId="0">
      <selection activeCell="I40" sqref="I40"/>
    </sheetView>
  </sheetViews>
  <sheetFormatPr defaultColWidth="14.42578125" defaultRowHeight="15" customHeight="1"/>
  <cols>
    <col min="1" max="1" width="11" customWidth="1"/>
    <col min="2" max="2" width="17.85546875" customWidth="1"/>
    <col min="3" max="3" width="7.85546875" customWidth="1"/>
    <col min="4" max="4" width="76.28515625" customWidth="1"/>
    <col min="5" max="5" width="13.7109375" customWidth="1"/>
    <col min="6" max="7" width="12" customWidth="1"/>
    <col min="8" max="8" width="9.140625" customWidth="1"/>
    <col min="9" max="9" width="37.140625" customWidth="1"/>
    <col min="10" max="10" width="9.140625" customWidth="1"/>
    <col min="11" max="11" width="12.7109375" customWidth="1"/>
    <col min="12" max="26" width="8" customWidth="1"/>
  </cols>
  <sheetData>
    <row r="1" spans="1:26" ht="12.75" customHeight="1">
      <c r="A1" s="736"/>
      <c r="B1" s="685"/>
      <c r="C1" s="685"/>
      <c r="D1" s="685"/>
      <c r="E1" s="685"/>
      <c r="F1" s="685"/>
      <c r="G1" s="686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.75" customHeight="1">
      <c r="A2" s="674"/>
      <c r="B2" s="669"/>
      <c r="C2" s="669"/>
      <c r="D2" s="669"/>
      <c r="E2" s="669"/>
      <c r="F2" s="669"/>
      <c r="G2" s="67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75" customHeight="1">
      <c r="A3" s="674"/>
      <c r="B3" s="669"/>
      <c r="C3" s="669"/>
      <c r="D3" s="669"/>
      <c r="E3" s="669"/>
      <c r="F3" s="669"/>
      <c r="G3" s="67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2.75" customHeight="1">
      <c r="A4" s="674"/>
      <c r="B4" s="669"/>
      <c r="C4" s="669"/>
      <c r="D4" s="669"/>
      <c r="E4" s="669"/>
      <c r="F4" s="669"/>
      <c r="G4" s="67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2.75" customHeight="1">
      <c r="A5" s="674"/>
      <c r="B5" s="669"/>
      <c r="C5" s="669"/>
      <c r="D5" s="669"/>
      <c r="E5" s="669"/>
      <c r="F5" s="669"/>
      <c r="G5" s="67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2.75" customHeight="1">
      <c r="A6" s="737" t="s">
        <v>100</v>
      </c>
      <c r="B6" s="678"/>
      <c r="C6" s="678"/>
      <c r="D6" s="678"/>
      <c r="E6" s="678"/>
      <c r="F6" s="678"/>
      <c r="G6" s="69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2.75" customHeight="1">
      <c r="A7" s="697" t="e">
        <f>Sintetico!A7</f>
        <v>#REF!</v>
      </c>
      <c r="B7" s="682"/>
      <c r="C7" s="682"/>
      <c r="D7" s="682"/>
      <c r="E7" s="682"/>
      <c r="F7" s="682"/>
      <c r="G7" s="683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customHeight="1">
      <c r="A8" s="697" t="e">
        <f>Sintetico!A8</f>
        <v>#REF!</v>
      </c>
      <c r="B8" s="682"/>
      <c r="C8" s="682"/>
      <c r="D8" s="682"/>
      <c r="E8" s="682"/>
      <c r="F8" s="682"/>
      <c r="G8" s="683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5.5" customHeight="1">
      <c r="A9" s="738"/>
      <c r="B9" s="682"/>
      <c r="C9" s="683"/>
      <c r="D9" s="698" t="str">
        <f>Sintetico!D9</f>
        <v xml:space="preserve"> </v>
      </c>
      <c r="E9" s="682"/>
      <c r="F9" s="682"/>
      <c r="G9" s="683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2.75" customHeight="1">
      <c r="A10" s="735"/>
      <c r="B10" s="685"/>
      <c r="C10" s="685"/>
      <c r="D10" s="685"/>
      <c r="E10" s="685"/>
      <c r="F10" s="685"/>
      <c r="G10" s="686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2.75" customHeight="1">
      <c r="A11" s="141" t="s">
        <v>43</v>
      </c>
      <c r="B11" s="141" t="s">
        <v>44</v>
      </c>
      <c r="C11" s="142" t="s">
        <v>45</v>
      </c>
      <c r="D11" s="142" t="s">
        <v>46</v>
      </c>
      <c r="E11" s="143" t="s">
        <v>47</v>
      </c>
      <c r="F11" s="143" t="s">
        <v>102</v>
      </c>
      <c r="G11" s="143" t="s">
        <v>103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2.75" customHeight="1">
      <c r="A12" s="734"/>
      <c r="B12" s="721"/>
      <c r="C12" s="721"/>
      <c r="D12" s="721"/>
      <c r="E12" s="721"/>
      <c r="F12" s="721"/>
      <c r="G12" s="728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51" customHeight="1">
      <c r="A13" s="97" t="s">
        <v>105</v>
      </c>
      <c r="B13" s="144" t="s">
        <v>106</v>
      </c>
      <c r="C13" s="97" t="s">
        <v>70</v>
      </c>
      <c r="D13" s="103" t="s">
        <v>107</v>
      </c>
      <c r="E13" s="105"/>
      <c r="F13" s="105"/>
      <c r="G13" s="105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5" customHeight="1">
      <c r="A14" s="97">
        <v>1</v>
      </c>
      <c r="B14" s="97"/>
      <c r="C14" s="97" t="s">
        <v>51</v>
      </c>
      <c r="D14" s="103" t="s">
        <v>109</v>
      </c>
      <c r="E14" s="146">
        <v>0.55000000000000004</v>
      </c>
      <c r="F14" s="146"/>
      <c r="G14" s="146">
        <f t="shared" ref="G14:G25" si="0">F14*E14</f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4.25" customHeight="1">
      <c r="A15" s="97">
        <v>2</v>
      </c>
      <c r="B15" s="97"/>
      <c r="C15" s="97" t="s">
        <v>51</v>
      </c>
      <c r="D15" s="103" t="s">
        <v>110</v>
      </c>
      <c r="E15" s="146">
        <v>0.44</v>
      </c>
      <c r="F15" s="146"/>
      <c r="G15" s="146">
        <f t="shared" si="0"/>
        <v>0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5" customHeight="1">
      <c r="A16" s="97">
        <v>3</v>
      </c>
      <c r="B16" s="97"/>
      <c r="C16" s="97" t="s">
        <v>51</v>
      </c>
      <c r="D16" s="103" t="s">
        <v>112</v>
      </c>
      <c r="E16" s="146">
        <v>0.55000000000000004</v>
      </c>
      <c r="F16" s="146"/>
      <c r="G16" s="146">
        <f t="shared" si="0"/>
        <v>0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5" customHeight="1">
      <c r="A17" s="97">
        <v>4</v>
      </c>
      <c r="B17" s="97"/>
      <c r="C17" s="97" t="s">
        <v>51</v>
      </c>
      <c r="D17" s="103" t="s">
        <v>113</v>
      </c>
      <c r="E17" s="146">
        <v>0.2</v>
      </c>
      <c r="F17" s="146"/>
      <c r="G17" s="150">
        <f t="shared" si="0"/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21.75" customHeight="1">
      <c r="A18" s="97">
        <v>5</v>
      </c>
      <c r="B18" s="97"/>
      <c r="C18" s="97" t="s">
        <v>82</v>
      </c>
      <c r="D18" s="103" t="s">
        <v>117</v>
      </c>
      <c r="E18" s="146">
        <f>0.12*0.12*0.3</f>
        <v>4.3200000000000001E-3</v>
      </c>
      <c r="F18" s="146"/>
      <c r="G18" s="146">
        <f t="shared" si="0"/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25.5" customHeight="1">
      <c r="A19" s="97">
        <v>6</v>
      </c>
      <c r="B19" s="97"/>
      <c r="C19" s="97" t="s">
        <v>70</v>
      </c>
      <c r="D19" s="103" t="s">
        <v>120</v>
      </c>
      <c r="E19" s="146">
        <v>2.1</v>
      </c>
      <c r="F19" s="146"/>
      <c r="G19" s="146">
        <f t="shared" si="0"/>
        <v>0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5" customHeight="1">
      <c r="A20" s="97">
        <v>7</v>
      </c>
      <c r="B20" s="97"/>
      <c r="C20" s="97" t="s">
        <v>121</v>
      </c>
      <c r="D20" s="103" t="s">
        <v>122</v>
      </c>
      <c r="E20" s="146">
        <v>0.27</v>
      </c>
      <c r="F20" s="146"/>
      <c r="G20" s="146">
        <f t="shared" si="0"/>
        <v>0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5" customHeight="1">
      <c r="A21" s="97">
        <v>8</v>
      </c>
      <c r="B21" s="97"/>
      <c r="C21" s="97" t="s">
        <v>125</v>
      </c>
      <c r="D21" s="103" t="s">
        <v>126</v>
      </c>
      <c r="E21" s="146">
        <v>0.55000000000000004</v>
      </c>
      <c r="F21" s="146"/>
      <c r="G21" s="146">
        <f t="shared" si="0"/>
        <v>0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5" customHeight="1">
      <c r="A22" s="97">
        <v>9</v>
      </c>
      <c r="B22" s="97"/>
      <c r="C22" s="97" t="s">
        <v>18</v>
      </c>
      <c r="D22" s="103" t="s">
        <v>127</v>
      </c>
      <c r="E22" s="146">
        <v>0.05</v>
      </c>
      <c r="F22" s="146"/>
      <c r="G22" s="146">
        <f t="shared" si="0"/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25.5" customHeight="1">
      <c r="A23" s="97">
        <v>10</v>
      </c>
      <c r="B23" s="97"/>
      <c r="C23" s="97" t="s">
        <v>60</v>
      </c>
      <c r="D23" s="103" t="s">
        <v>129</v>
      </c>
      <c r="E23" s="146">
        <v>0.16</v>
      </c>
      <c r="F23" s="146"/>
      <c r="G23" s="146">
        <f t="shared" si="0"/>
        <v>0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5.75" customHeight="1">
      <c r="A24" s="97">
        <v>11</v>
      </c>
      <c r="B24" s="97"/>
      <c r="C24" s="97" t="s">
        <v>60</v>
      </c>
      <c r="D24" s="103" t="s">
        <v>130</v>
      </c>
      <c r="E24" s="146">
        <v>0.16</v>
      </c>
      <c r="F24" s="146"/>
      <c r="G24" s="146">
        <f t="shared" si="0"/>
        <v>0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2.75" customHeight="1">
      <c r="A25" s="98"/>
      <c r="B25" s="98"/>
      <c r="C25" s="98"/>
      <c r="D25" s="151" t="s">
        <v>132</v>
      </c>
      <c r="E25" s="152">
        <v>1</v>
      </c>
      <c r="F25" s="152">
        <f>SUM(G14:G24)</f>
        <v>0</v>
      </c>
      <c r="G25" s="152">
        <f t="shared" si="0"/>
        <v>0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2.75" customHeight="1">
      <c r="A26" s="154"/>
      <c r="B26" s="155"/>
      <c r="C26" s="156"/>
      <c r="D26" s="157"/>
      <c r="E26" s="158"/>
      <c r="F26" s="158"/>
      <c r="G26" s="158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25.5" customHeight="1">
      <c r="A27" s="97" t="s">
        <v>136</v>
      </c>
      <c r="B27" s="144"/>
      <c r="C27" s="97" t="s">
        <v>125</v>
      </c>
      <c r="D27" s="122" t="s">
        <v>138</v>
      </c>
      <c r="E27" s="152"/>
      <c r="F27" s="152"/>
      <c r="G27" s="152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5" customHeight="1">
      <c r="A28" s="97">
        <v>1</v>
      </c>
      <c r="B28" s="97"/>
      <c r="C28" s="97" t="s">
        <v>51</v>
      </c>
      <c r="D28" s="122" t="s">
        <v>112</v>
      </c>
      <c r="E28" s="146">
        <v>0.43</v>
      </c>
      <c r="F28" s="146"/>
      <c r="G28" s="146">
        <f t="shared" ref="G28:G31" si="1">F28*E28</f>
        <v>0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2.75" customHeight="1">
      <c r="A29" s="97">
        <v>2</v>
      </c>
      <c r="B29" s="97"/>
      <c r="C29" s="97" t="s">
        <v>125</v>
      </c>
      <c r="D29" s="122" t="s">
        <v>139</v>
      </c>
      <c r="E29" s="105">
        <v>0.05</v>
      </c>
      <c r="F29" s="105"/>
      <c r="G29" s="105">
        <f t="shared" si="1"/>
        <v>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15" customHeight="1">
      <c r="A30" s="133">
        <v>3</v>
      </c>
      <c r="B30" s="138"/>
      <c r="C30" s="133" t="s">
        <v>125</v>
      </c>
      <c r="D30" s="137" t="s">
        <v>135</v>
      </c>
      <c r="E30" s="162">
        <v>1</v>
      </c>
      <c r="F30" s="162"/>
      <c r="G30" s="162">
        <f t="shared" si="1"/>
        <v>0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5" customHeight="1">
      <c r="A31" s="163"/>
      <c r="B31" s="102"/>
      <c r="C31" s="97"/>
      <c r="D31" s="91" t="s">
        <v>132</v>
      </c>
      <c r="E31" s="165">
        <v>1</v>
      </c>
      <c r="F31" s="165">
        <f>SUM(G28:G30)</f>
        <v>0</v>
      </c>
      <c r="G31" s="165">
        <f t="shared" si="1"/>
        <v>0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.75" customHeight="1">
      <c r="A32" s="154"/>
      <c r="B32" s="155"/>
      <c r="C32" s="156"/>
      <c r="D32" s="157"/>
      <c r="E32" s="158"/>
      <c r="F32" s="158"/>
      <c r="G32" s="158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25.5" customHeight="1">
      <c r="A33" s="97" t="s">
        <v>141</v>
      </c>
      <c r="B33" s="144" t="s">
        <v>106</v>
      </c>
      <c r="C33" s="97" t="s">
        <v>70</v>
      </c>
      <c r="D33" s="122" t="s">
        <v>142</v>
      </c>
      <c r="E33" s="129"/>
      <c r="F33" s="129"/>
      <c r="G33" s="129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5" customHeight="1">
      <c r="A34" s="97">
        <v>1</v>
      </c>
      <c r="B34" s="97"/>
      <c r="C34" s="97" t="s">
        <v>51</v>
      </c>
      <c r="D34" s="122" t="s">
        <v>112</v>
      </c>
      <c r="E34" s="105">
        <v>0.05</v>
      </c>
      <c r="F34" s="146"/>
      <c r="G34" s="105">
        <f t="shared" ref="G34:G36" si="2">F34*E34</f>
        <v>0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5" customHeight="1">
      <c r="A35" s="124">
        <v>2</v>
      </c>
      <c r="B35" s="97"/>
      <c r="C35" s="97" t="s">
        <v>70</v>
      </c>
      <c r="D35" s="122" t="s">
        <v>144</v>
      </c>
      <c r="E35" s="146">
        <v>7.0000000000000007E-2</v>
      </c>
      <c r="F35" s="146"/>
      <c r="G35" s="129">
        <f t="shared" si="2"/>
        <v>0</v>
      </c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12.75" customHeight="1">
      <c r="A36" s="170"/>
      <c r="B36" s="128"/>
      <c r="C36" s="124"/>
      <c r="D36" s="91" t="s">
        <v>132</v>
      </c>
      <c r="E36" s="171">
        <v>1</v>
      </c>
      <c r="F36" s="171">
        <f>SUM(G34:G35)</f>
        <v>0</v>
      </c>
      <c r="G36" s="171">
        <f t="shared" si="2"/>
        <v>0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2.75" customHeight="1">
      <c r="A37" s="154"/>
      <c r="B37" s="155"/>
      <c r="C37" s="156"/>
      <c r="D37" s="157"/>
      <c r="E37" s="158"/>
      <c r="F37" s="158"/>
      <c r="G37" s="158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2.75" customHeight="1">
      <c r="A38" s="97" t="s">
        <v>145</v>
      </c>
      <c r="B38" s="144" t="s">
        <v>106</v>
      </c>
      <c r="C38" s="97" t="s">
        <v>125</v>
      </c>
      <c r="D38" s="122" t="s">
        <v>146</v>
      </c>
      <c r="E38" s="129"/>
      <c r="F38" s="129"/>
      <c r="G38" s="129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15" customHeight="1">
      <c r="A39" s="97">
        <v>1</v>
      </c>
      <c r="B39" s="97"/>
      <c r="C39" s="97" t="s">
        <v>51</v>
      </c>
      <c r="D39" s="122" t="s">
        <v>112</v>
      </c>
      <c r="E39" s="105">
        <v>0.55000000000000004</v>
      </c>
      <c r="F39" s="146"/>
      <c r="G39" s="105">
        <f t="shared" ref="G39:G42" si="3">F39*E39</f>
        <v>0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27.75" customHeight="1">
      <c r="A40" s="133">
        <v>2</v>
      </c>
      <c r="B40" s="133"/>
      <c r="C40" s="133" t="s">
        <v>125</v>
      </c>
      <c r="D40" s="137" t="s">
        <v>149</v>
      </c>
      <c r="E40" s="136">
        <v>1</v>
      </c>
      <c r="F40" s="136"/>
      <c r="G40" s="136">
        <f t="shared" si="3"/>
        <v>0</v>
      </c>
      <c r="H40" s="140"/>
      <c r="I40" s="175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25.5" customHeight="1">
      <c r="A41" s="124">
        <v>3</v>
      </c>
      <c r="B41" s="97"/>
      <c r="C41" s="124" t="s">
        <v>125</v>
      </c>
      <c r="D41" s="122" t="s">
        <v>152</v>
      </c>
      <c r="E41" s="129">
        <v>1</v>
      </c>
      <c r="F41" s="105"/>
      <c r="G41" s="129">
        <f t="shared" si="3"/>
        <v>0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2.75" customHeight="1">
      <c r="A42" s="124"/>
      <c r="B42" s="124"/>
      <c r="C42" s="124"/>
      <c r="D42" s="91" t="s">
        <v>132</v>
      </c>
      <c r="E42" s="171">
        <v>1</v>
      </c>
      <c r="F42" s="171">
        <f>SUM(G39:G41)</f>
        <v>0</v>
      </c>
      <c r="G42" s="171">
        <f t="shared" si="3"/>
        <v>0</v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2.75" customHeight="1">
      <c r="A43" s="154"/>
      <c r="B43" s="155"/>
      <c r="C43" s="156"/>
      <c r="D43" s="157"/>
      <c r="E43" s="158"/>
      <c r="F43" s="158"/>
      <c r="G43" s="158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25.5" customHeight="1">
      <c r="A44" s="97" t="s">
        <v>153</v>
      </c>
      <c r="B44" s="144" t="s">
        <v>106</v>
      </c>
      <c r="C44" s="97" t="s">
        <v>60</v>
      </c>
      <c r="D44" s="103" t="s">
        <v>154</v>
      </c>
      <c r="E44" s="105"/>
      <c r="F44" s="105"/>
      <c r="G44" s="105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2.75" customHeight="1">
      <c r="A45" s="97">
        <v>1</v>
      </c>
      <c r="B45" s="97"/>
      <c r="C45" s="97" t="s">
        <v>51</v>
      </c>
      <c r="D45" s="103" t="s">
        <v>112</v>
      </c>
      <c r="E45" s="105">
        <v>0.45</v>
      </c>
      <c r="F45" s="105"/>
      <c r="G45" s="105">
        <f t="shared" ref="G45:G50" si="4">F45*E45</f>
        <v>0</v>
      </c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2.75" customHeight="1">
      <c r="A46" s="97">
        <v>2</v>
      </c>
      <c r="B46" s="97"/>
      <c r="C46" s="97" t="s">
        <v>51</v>
      </c>
      <c r="D46" s="103" t="s">
        <v>113</v>
      </c>
      <c r="E46" s="105">
        <v>0.45</v>
      </c>
      <c r="F46" s="105"/>
      <c r="G46" s="105">
        <f t="shared" si="4"/>
        <v>0</v>
      </c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25.5" customHeight="1">
      <c r="A47" s="97">
        <v>3</v>
      </c>
      <c r="B47" s="97"/>
      <c r="C47" s="97" t="s">
        <v>60</v>
      </c>
      <c r="D47" s="103" t="s">
        <v>156</v>
      </c>
      <c r="E47" s="105">
        <v>1</v>
      </c>
      <c r="F47" s="105"/>
      <c r="G47" s="105">
        <f t="shared" si="4"/>
        <v>0</v>
      </c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2.75" customHeight="1">
      <c r="A48" s="97">
        <v>4</v>
      </c>
      <c r="B48" s="97"/>
      <c r="C48" s="97" t="s">
        <v>121</v>
      </c>
      <c r="D48" s="103" t="s">
        <v>157</v>
      </c>
      <c r="E48" s="105">
        <v>0.05</v>
      </c>
      <c r="F48" s="105"/>
      <c r="G48" s="105">
        <f t="shared" si="4"/>
        <v>0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2.75" customHeight="1">
      <c r="A49" s="97">
        <v>5</v>
      </c>
      <c r="B49" s="97"/>
      <c r="C49" s="97" t="s">
        <v>125</v>
      </c>
      <c r="D49" s="103" t="s">
        <v>139</v>
      </c>
      <c r="E49" s="105">
        <v>0.05</v>
      </c>
      <c r="F49" s="105"/>
      <c r="G49" s="105">
        <f t="shared" si="4"/>
        <v>0</v>
      </c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2.75" customHeight="1">
      <c r="A50" s="97"/>
      <c r="B50" s="97"/>
      <c r="C50" s="97"/>
      <c r="D50" s="151" t="s">
        <v>132</v>
      </c>
      <c r="E50" s="152">
        <v>1</v>
      </c>
      <c r="F50" s="152">
        <f>SUM(G45:G49)</f>
        <v>0</v>
      </c>
      <c r="G50" s="152">
        <f t="shared" si="4"/>
        <v>0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2.75" customHeight="1">
      <c r="A51" s="154"/>
      <c r="B51" s="155"/>
      <c r="C51" s="156"/>
      <c r="D51" s="157"/>
      <c r="E51" s="158"/>
      <c r="F51" s="158"/>
      <c r="G51" s="158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36.75" customHeight="1">
      <c r="A52" s="97" t="s">
        <v>161</v>
      </c>
      <c r="B52" s="144" t="s">
        <v>106</v>
      </c>
      <c r="C52" s="97" t="s">
        <v>60</v>
      </c>
      <c r="D52" s="103" t="s">
        <v>162</v>
      </c>
      <c r="E52" s="105"/>
      <c r="F52" s="105"/>
      <c r="G52" s="105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5" customHeight="1">
      <c r="A53" s="97">
        <v>1</v>
      </c>
      <c r="B53" s="97"/>
      <c r="C53" s="97" t="s">
        <v>51</v>
      </c>
      <c r="D53" s="103" t="s">
        <v>112</v>
      </c>
      <c r="E53" s="105">
        <v>0.5</v>
      </c>
      <c r="F53" s="146"/>
      <c r="G53" s="105">
        <f t="shared" ref="G53:G58" si="5">F53*E53</f>
        <v>0</v>
      </c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5" customHeight="1">
      <c r="A54" s="97">
        <v>2</v>
      </c>
      <c r="B54" s="97"/>
      <c r="C54" s="97" t="s">
        <v>51</v>
      </c>
      <c r="D54" s="103" t="s">
        <v>113</v>
      </c>
      <c r="E54" s="105">
        <v>0.5</v>
      </c>
      <c r="F54" s="146"/>
      <c r="G54" s="105">
        <f t="shared" si="5"/>
        <v>0</v>
      </c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25.5" customHeight="1">
      <c r="A55" s="97">
        <v>3</v>
      </c>
      <c r="B55" s="97"/>
      <c r="C55" s="97" t="s">
        <v>60</v>
      </c>
      <c r="D55" s="103" t="s">
        <v>164</v>
      </c>
      <c r="E55" s="105">
        <v>1.5649999999999999</v>
      </c>
      <c r="F55" s="105"/>
      <c r="G55" s="105">
        <f t="shared" si="5"/>
        <v>0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25.5" customHeight="1">
      <c r="A56" s="97">
        <v>4</v>
      </c>
      <c r="B56" s="97"/>
      <c r="C56" s="97" t="s">
        <v>60</v>
      </c>
      <c r="D56" s="103" t="s">
        <v>165</v>
      </c>
      <c r="E56" s="105">
        <v>1</v>
      </c>
      <c r="F56" s="105"/>
      <c r="G56" s="105">
        <f t="shared" si="5"/>
        <v>0</v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2.75" customHeight="1">
      <c r="A57" s="97">
        <v>5</v>
      </c>
      <c r="B57" s="97"/>
      <c r="C57" s="97" t="s">
        <v>121</v>
      </c>
      <c r="D57" s="103" t="s">
        <v>168</v>
      </c>
      <c r="E57" s="105">
        <v>2.2000000000000002</v>
      </c>
      <c r="F57" s="105"/>
      <c r="G57" s="105">
        <f t="shared" si="5"/>
        <v>0</v>
      </c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2.75" customHeight="1">
      <c r="A58" s="97"/>
      <c r="B58" s="97"/>
      <c r="C58" s="97"/>
      <c r="D58" s="151" t="s">
        <v>132</v>
      </c>
      <c r="E58" s="152">
        <v>1</v>
      </c>
      <c r="F58" s="152">
        <f>SUM(G53:G57)</f>
        <v>0</v>
      </c>
      <c r="G58" s="152">
        <f t="shared" si="5"/>
        <v>0</v>
      </c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2.75" customHeight="1">
      <c r="A59" s="154"/>
      <c r="B59" s="155"/>
      <c r="C59" s="156"/>
      <c r="D59" s="157"/>
      <c r="E59" s="158"/>
      <c r="F59" s="158"/>
      <c r="G59" s="15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38.25" customHeight="1">
      <c r="A60" s="97" t="s">
        <v>170</v>
      </c>
      <c r="B60" s="144" t="s">
        <v>106</v>
      </c>
      <c r="C60" s="97" t="s">
        <v>125</v>
      </c>
      <c r="D60" s="103" t="s">
        <v>171</v>
      </c>
      <c r="E60" s="105"/>
      <c r="F60" s="105"/>
      <c r="G60" s="105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25.5" customHeight="1">
      <c r="A61" s="97">
        <v>1</v>
      </c>
      <c r="B61" s="97"/>
      <c r="C61" s="97" t="s">
        <v>51</v>
      </c>
      <c r="D61" s="103" t="s">
        <v>173</v>
      </c>
      <c r="E61" s="105">
        <v>0.55000000000000004</v>
      </c>
      <c r="F61" s="105"/>
      <c r="G61" s="105">
        <f t="shared" ref="G61:G69" si="6">F61*E61</f>
        <v>0</v>
      </c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4.25" customHeight="1">
      <c r="A62" s="97">
        <v>2</v>
      </c>
      <c r="B62" s="97"/>
      <c r="C62" s="97" t="s">
        <v>51</v>
      </c>
      <c r="D62" s="103" t="s">
        <v>175</v>
      </c>
      <c r="E62" s="105">
        <v>0.55000000000000004</v>
      </c>
      <c r="F62" s="105"/>
      <c r="G62" s="105">
        <f t="shared" si="6"/>
        <v>0</v>
      </c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2" customHeight="1">
      <c r="A63" s="97">
        <v>3</v>
      </c>
      <c r="B63" s="97"/>
      <c r="C63" s="97" t="s">
        <v>51</v>
      </c>
      <c r="D63" s="103" t="s">
        <v>113</v>
      </c>
      <c r="E63" s="146">
        <v>0.55000000000000004</v>
      </c>
      <c r="F63" s="146"/>
      <c r="G63" s="146">
        <f t="shared" si="6"/>
        <v>0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3.5" customHeight="1">
      <c r="A64" s="97">
        <v>4</v>
      </c>
      <c r="B64" s="97"/>
      <c r="C64" s="97" t="s">
        <v>125</v>
      </c>
      <c r="D64" s="103" t="s">
        <v>176</v>
      </c>
      <c r="E64" s="105">
        <v>0.05</v>
      </c>
      <c r="F64" s="105"/>
      <c r="G64" s="105">
        <f t="shared" si="6"/>
        <v>0</v>
      </c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5" customHeight="1">
      <c r="A65" s="97">
        <v>5</v>
      </c>
      <c r="B65" s="97"/>
      <c r="C65" s="97" t="s">
        <v>121</v>
      </c>
      <c r="D65" s="103" t="s">
        <v>179</v>
      </c>
      <c r="E65" s="146">
        <v>0.05</v>
      </c>
      <c r="F65" s="146"/>
      <c r="G65" s="146">
        <f t="shared" si="6"/>
        <v>0</v>
      </c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25.5" customHeight="1">
      <c r="A66" s="97">
        <v>6</v>
      </c>
      <c r="B66" s="97"/>
      <c r="C66" s="97" t="s">
        <v>125</v>
      </c>
      <c r="D66" s="103" t="s">
        <v>180</v>
      </c>
      <c r="E66" s="105">
        <v>2</v>
      </c>
      <c r="F66" s="105"/>
      <c r="G66" s="105">
        <f t="shared" si="6"/>
        <v>0</v>
      </c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25.5" customHeight="1">
      <c r="A67" s="97">
        <v>7</v>
      </c>
      <c r="B67" s="97"/>
      <c r="C67" s="97" t="s">
        <v>125</v>
      </c>
      <c r="D67" s="103" t="s">
        <v>181</v>
      </c>
      <c r="E67" s="146">
        <v>1</v>
      </c>
      <c r="F67" s="146"/>
      <c r="G67" s="146">
        <f t="shared" si="6"/>
        <v>0</v>
      </c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5" customHeight="1">
      <c r="A68" s="97">
        <v>8</v>
      </c>
      <c r="B68" s="97"/>
      <c r="C68" s="97" t="s">
        <v>121</v>
      </c>
      <c r="D68" s="103" t="s">
        <v>168</v>
      </c>
      <c r="E68" s="146">
        <v>1.1499999999999999</v>
      </c>
      <c r="F68" s="146"/>
      <c r="G68" s="146">
        <f t="shared" si="6"/>
        <v>0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38.25" customHeight="1">
      <c r="A69" s="148">
        <v>9</v>
      </c>
      <c r="B69" s="148"/>
      <c r="C69" s="148" t="s">
        <v>60</v>
      </c>
      <c r="D69" s="103" t="s">
        <v>183</v>
      </c>
      <c r="E69" s="146">
        <v>0.27</v>
      </c>
      <c r="F69" s="123"/>
      <c r="G69" s="123">
        <f t="shared" si="6"/>
        <v>0</v>
      </c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2.75" customHeight="1">
      <c r="A70" s="97"/>
      <c r="B70" s="97"/>
      <c r="C70" s="97"/>
      <c r="D70" s="151" t="s">
        <v>132</v>
      </c>
      <c r="E70" s="152">
        <v>1</v>
      </c>
      <c r="F70" s="152">
        <f>SUM(G61:G69)</f>
        <v>0</v>
      </c>
      <c r="G70" s="152">
        <f>ROUND(E70*F70,2)</f>
        <v>0</v>
      </c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2.75" customHeight="1">
      <c r="A71" s="154"/>
      <c r="B71" s="155"/>
      <c r="C71" s="156"/>
      <c r="D71" s="157"/>
      <c r="E71" s="158"/>
      <c r="F71" s="158"/>
      <c r="G71" s="158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25.5" customHeight="1">
      <c r="A72" s="97" t="s">
        <v>184</v>
      </c>
      <c r="B72" s="144" t="s">
        <v>106</v>
      </c>
      <c r="C72" s="97" t="s">
        <v>125</v>
      </c>
      <c r="D72" s="103" t="s">
        <v>185</v>
      </c>
      <c r="E72" s="105"/>
      <c r="F72" s="105"/>
      <c r="G72" s="105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5" customHeight="1">
      <c r="A73" s="97">
        <v>1</v>
      </c>
      <c r="B73" s="97"/>
      <c r="C73" s="97" t="s">
        <v>51</v>
      </c>
      <c r="D73" s="103" t="s">
        <v>113</v>
      </c>
      <c r="E73" s="146">
        <v>0.05</v>
      </c>
      <c r="F73" s="146"/>
      <c r="G73" s="105">
        <f t="shared" ref="G73:G77" si="7">F73*E73</f>
        <v>0</v>
      </c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5" customHeight="1">
      <c r="A74" s="97">
        <v>2</v>
      </c>
      <c r="B74" s="97"/>
      <c r="C74" s="97" t="s">
        <v>51</v>
      </c>
      <c r="D74" s="103" t="s">
        <v>112</v>
      </c>
      <c r="E74" s="146">
        <v>0.05</v>
      </c>
      <c r="F74" s="146"/>
      <c r="G74" s="105">
        <f t="shared" si="7"/>
        <v>0</v>
      </c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25.5" customHeight="1">
      <c r="A75" s="97">
        <v>3</v>
      </c>
      <c r="B75" s="97"/>
      <c r="C75" s="97" t="s">
        <v>121</v>
      </c>
      <c r="D75" s="103" t="s">
        <v>187</v>
      </c>
      <c r="E75" s="146">
        <v>0.16</v>
      </c>
      <c r="F75" s="146"/>
      <c r="G75" s="105">
        <f t="shared" si="7"/>
        <v>0</v>
      </c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25.5" customHeight="1">
      <c r="A76" s="97">
        <v>4</v>
      </c>
      <c r="B76" s="97"/>
      <c r="C76" s="97" t="s">
        <v>125</v>
      </c>
      <c r="D76" s="103" t="s">
        <v>188</v>
      </c>
      <c r="E76" s="146">
        <v>1</v>
      </c>
      <c r="F76" s="146"/>
      <c r="G76" s="105">
        <f t="shared" si="7"/>
        <v>0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2.75" customHeight="1">
      <c r="A77" s="97"/>
      <c r="B77" s="97"/>
      <c r="C77" s="97"/>
      <c r="D77" s="151" t="s">
        <v>132</v>
      </c>
      <c r="E77" s="152">
        <v>1</v>
      </c>
      <c r="F77" s="152">
        <f>SUM(G73:G76)</f>
        <v>0</v>
      </c>
      <c r="G77" s="152">
        <f t="shared" si="7"/>
        <v>0</v>
      </c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2.75" customHeight="1">
      <c r="A78" s="154"/>
      <c r="B78" s="155"/>
      <c r="C78" s="156"/>
      <c r="D78" s="157"/>
      <c r="E78" s="158"/>
      <c r="F78" s="158"/>
      <c r="G78" s="158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25.5" customHeight="1">
      <c r="A79" s="97" t="s">
        <v>189</v>
      </c>
      <c r="B79" s="144" t="s">
        <v>106</v>
      </c>
      <c r="C79" s="97" t="s">
        <v>125</v>
      </c>
      <c r="D79" s="103" t="s">
        <v>190</v>
      </c>
      <c r="E79" s="105"/>
      <c r="F79" s="105"/>
      <c r="G79" s="105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26.25" customHeight="1">
      <c r="A80" s="97">
        <v>1</v>
      </c>
      <c r="B80" s="97"/>
      <c r="C80" s="97" t="s">
        <v>125</v>
      </c>
      <c r="D80" s="103" t="s">
        <v>191</v>
      </c>
      <c r="E80" s="105">
        <v>1</v>
      </c>
      <c r="F80" s="105"/>
      <c r="G80" s="105">
        <f t="shared" ref="G80:G82" si="8">F80*E80</f>
        <v>0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5" customHeight="1">
      <c r="A81" s="97">
        <v>2</v>
      </c>
      <c r="B81" s="97"/>
      <c r="C81" s="97" t="s">
        <v>51</v>
      </c>
      <c r="D81" s="103" t="s">
        <v>113</v>
      </c>
      <c r="E81" s="146">
        <v>0.4</v>
      </c>
      <c r="F81" s="146"/>
      <c r="G81" s="105">
        <f t="shared" si="8"/>
        <v>0</v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5" customHeight="1">
      <c r="A82" s="97">
        <v>3</v>
      </c>
      <c r="B82" s="97"/>
      <c r="C82" s="97" t="s">
        <v>51</v>
      </c>
      <c r="D82" s="103" t="s">
        <v>112</v>
      </c>
      <c r="E82" s="146">
        <v>0.4</v>
      </c>
      <c r="F82" s="146"/>
      <c r="G82" s="105">
        <f t="shared" si="8"/>
        <v>0</v>
      </c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5" customHeight="1">
      <c r="A83" s="97">
        <v>4</v>
      </c>
      <c r="B83" s="97"/>
      <c r="C83" s="97" t="s">
        <v>125</v>
      </c>
      <c r="D83" s="103" t="s">
        <v>192</v>
      </c>
      <c r="E83" s="146">
        <v>1</v>
      </c>
      <c r="F83" s="146"/>
      <c r="G83" s="105">
        <f>ROUND(E83*F83,2)</f>
        <v>0</v>
      </c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25.5" customHeight="1">
      <c r="A84" s="124">
        <v>5</v>
      </c>
      <c r="B84" s="97"/>
      <c r="C84" s="124" t="s">
        <v>125</v>
      </c>
      <c r="D84" s="103" t="s">
        <v>152</v>
      </c>
      <c r="E84" s="129">
        <v>2</v>
      </c>
      <c r="F84" s="105"/>
      <c r="G84" s="129">
        <f t="shared" ref="G84:G87" si="9">F84*E84</f>
        <v>0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2.75" customHeight="1">
      <c r="A85" s="97">
        <v>6</v>
      </c>
      <c r="B85" s="97"/>
      <c r="C85" s="97" t="s">
        <v>121</v>
      </c>
      <c r="D85" s="188" t="s">
        <v>194</v>
      </c>
      <c r="E85" s="105">
        <f>0.9*8.1</f>
        <v>7.29</v>
      </c>
      <c r="F85" s="105"/>
      <c r="G85" s="129">
        <f t="shared" si="9"/>
        <v>0</v>
      </c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2.75" customHeight="1">
      <c r="A86" s="97">
        <v>7</v>
      </c>
      <c r="B86" s="97"/>
      <c r="C86" s="97" t="s">
        <v>121</v>
      </c>
      <c r="D86" s="103" t="s">
        <v>195</v>
      </c>
      <c r="E86" s="105">
        <v>0.05</v>
      </c>
      <c r="F86" s="105"/>
      <c r="G86" s="129">
        <f t="shared" si="9"/>
        <v>0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</row>
    <row r="87" spans="1:26" ht="12.75" customHeight="1">
      <c r="A87" s="97">
        <v>8</v>
      </c>
      <c r="B87" s="97"/>
      <c r="C87" s="97" t="s">
        <v>121</v>
      </c>
      <c r="D87" s="103" t="s">
        <v>196</v>
      </c>
      <c r="E87" s="105">
        <v>0.05</v>
      </c>
      <c r="F87" s="105"/>
      <c r="G87" s="129">
        <f t="shared" si="9"/>
        <v>0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</row>
    <row r="88" spans="1:26" ht="14.25" customHeight="1">
      <c r="A88" s="191"/>
      <c r="B88" s="191"/>
      <c r="C88" s="191"/>
      <c r="D88" s="151" t="s">
        <v>132</v>
      </c>
      <c r="E88" s="152">
        <v>1</v>
      </c>
      <c r="F88" s="152">
        <f>SUM(G80:G87)</f>
        <v>0</v>
      </c>
      <c r="G88" s="152">
        <f>ROUND(E88*F88,2)</f>
        <v>0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</row>
    <row r="89" spans="1:26" ht="12.75" customHeight="1">
      <c r="A89" s="154"/>
      <c r="B89" s="155"/>
      <c r="C89" s="156"/>
      <c r="D89" s="157"/>
      <c r="E89" s="158"/>
      <c r="F89" s="158"/>
      <c r="G89" s="158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</row>
    <row r="90" spans="1:26" ht="12.75" customHeight="1">
      <c r="A90" s="192" t="s">
        <v>197</v>
      </c>
      <c r="B90" s="144" t="s">
        <v>106</v>
      </c>
      <c r="C90" s="97" t="s">
        <v>125</v>
      </c>
      <c r="D90" s="103" t="s">
        <v>198</v>
      </c>
      <c r="E90" s="194"/>
      <c r="F90" s="194"/>
      <c r="G90" s="129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</row>
    <row r="91" spans="1:26" ht="12.75" customHeight="1">
      <c r="A91" s="192">
        <v>1</v>
      </c>
      <c r="B91" s="144"/>
      <c r="C91" s="97" t="s">
        <v>51</v>
      </c>
      <c r="D91" s="103" t="s">
        <v>112</v>
      </c>
      <c r="E91" s="146">
        <v>0.4</v>
      </c>
      <c r="F91" s="146"/>
      <c r="G91" s="129">
        <f>F91*E91</f>
        <v>0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spans="1:26" ht="12.75" customHeight="1">
      <c r="A92" s="192">
        <v>2</v>
      </c>
      <c r="B92" s="144"/>
      <c r="C92" s="97" t="s">
        <v>125</v>
      </c>
      <c r="D92" s="103" t="s">
        <v>192</v>
      </c>
      <c r="E92" s="146">
        <v>1</v>
      </c>
      <c r="F92" s="146"/>
      <c r="G92" s="129">
        <f>ROUND(E92*F92,2)</f>
        <v>0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</row>
    <row r="93" spans="1:26" ht="12.75" customHeight="1">
      <c r="A93" s="195">
        <v>3</v>
      </c>
      <c r="B93" s="144"/>
      <c r="C93" s="133" t="s">
        <v>125</v>
      </c>
      <c r="D93" s="103" t="s">
        <v>152</v>
      </c>
      <c r="E93" s="197">
        <v>2</v>
      </c>
      <c r="F93" s="194"/>
      <c r="G93" s="129">
        <f t="shared" ref="G93:G96" si="10">F93*E93</f>
        <v>0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spans="1:26" ht="12.75" customHeight="1">
      <c r="A94" s="192">
        <v>4</v>
      </c>
      <c r="B94" s="144"/>
      <c r="C94" s="97" t="s">
        <v>121</v>
      </c>
      <c r="D94" s="103" t="s">
        <v>194</v>
      </c>
      <c r="E94" s="194">
        <f>0.9*8.1</f>
        <v>7.29</v>
      </c>
      <c r="F94" s="194"/>
      <c r="G94" s="129">
        <f t="shared" si="10"/>
        <v>0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</row>
    <row r="95" spans="1:26" ht="12.75" customHeight="1">
      <c r="A95" s="192">
        <v>5</v>
      </c>
      <c r="B95" s="144"/>
      <c r="C95" s="97" t="s">
        <v>121</v>
      </c>
      <c r="D95" s="103" t="s">
        <v>195</v>
      </c>
      <c r="E95" s="194">
        <v>0.05</v>
      </c>
      <c r="F95" s="194"/>
      <c r="G95" s="129">
        <f t="shared" si="10"/>
        <v>0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spans="1:26" ht="12.75" customHeight="1">
      <c r="A96" s="192">
        <v>6</v>
      </c>
      <c r="B96" s="144"/>
      <c r="C96" s="97" t="s">
        <v>121</v>
      </c>
      <c r="D96" s="103" t="s">
        <v>196</v>
      </c>
      <c r="E96" s="194">
        <v>0.05</v>
      </c>
      <c r="F96" s="194"/>
      <c r="G96" s="129">
        <f t="shared" si="10"/>
        <v>0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</row>
    <row r="97" spans="1:26" ht="12.75" customHeight="1">
      <c r="A97" s="214"/>
      <c r="B97" s="214"/>
      <c r="C97" s="214"/>
      <c r="D97" s="215" t="s">
        <v>132</v>
      </c>
      <c r="E97" s="218">
        <v>1</v>
      </c>
      <c r="F97" s="218">
        <f>SUM(G91:G96)</f>
        <v>0</v>
      </c>
      <c r="G97" s="218">
        <f>ROUND(E97*F97,2)</f>
        <v>0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</row>
    <row r="98" spans="1:26" ht="12.75" customHeight="1">
      <c r="A98" s="154"/>
      <c r="B98" s="155"/>
      <c r="C98" s="156"/>
      <c r="D98" s="157"/>
      <c r="E98" s="158"/>
      <c r="F98" s="158"/>
      <c r="G98" s="158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</row>
    <row r="99" spans="1:26" ht="25.5" customHeight="1">
      <c r="A99" s="97" t="s">
        <v>202</v>
      </c>
      <c r="B99" s="144" t="s">
        <v>106</v>
      </c>
      <c r="C99" s="97" t="s">
        <v>125</v>
      </c>
      <c r="D99" s="103" t="s">
        <v>203</v>
      </c>
      <c r="E99" s="105"/>
      <c r="F99" s="105"/>
      <c r="G99" s="105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</row>
    <row r="100" spans="1:26" ht="25.5" customHeight="1">
      <c r="A100" s="97">
        <v>1</v>
      </c>
      <c r="B100" s="97"/>
      <c r="C100" s="97" t="s">
        <v>51</v>
      </c>
      <c r="D100" s="103" t="s">
        <v>173</v>
      </c>
      <c r="E100" s="146">
        <v>0.55000000000000004</v>
      </c>
      <c r="F100" s="146"/>
      <c r="G100" s="146">
        <f t="shared" ref="G100:G105" si="11">F100*E100</f>
        <v>0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</row>
    <row r="101" spans="1:26" ht="15" customHeight="1">
      <c r="A101" s="97">
        <v>2</v>
      </c>
      <c r="B101" s="97"/>
      <c r="C101" s="97" t="s">
        <v>51</v>
      </c>
      <c r="D101" s="103" t="s">
        <v>175</v>
      </c>
      <c r="E101" s="146">
        <v>0.55000000000000004</v>
      </c>
      <c r="F101" s="146"/>
      <c r="G101" s="146">
        <f t="shared" si="11"/>
        <v>0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</row>
    <row r="102" spans="1:26" ht="25.5" customHeight="1">
      <c r="A102" s="97">
        <v>3</v>
      </c>
      <c r="B102" s="97"/>
      <c r="C102" s="97" t="s">
        <v>125</v>
      </c>
      <c r="D102" s="103" t="s">
        <v>214</v>
      </c>
      <c r="E102" s="146">
        <v>1</v>
      </c>
      <c r="F102" s="146"/>
      <c r="G102" s="146">
        <f t="shared" si="11"/>
        <v>0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</row>
    <row r="103" spans="1:26" ht="15" customHeight="1">
      <c r="A103" s="97">
        <v>4</v>
      </c>
      <c r="B103" s="97"/>
      <c r="C103" s="97" t="s">
        <v>125</v>
      </c>
      <c r="D103" s="103" t="s">
        <v>176</v>
      </c>
      <c r="E103" s="146">
        <v>0.05</v>
      </c>
      <c r="F103" s="146"/>
      <c r="G103" s="146">
        <f t="shared" si="11"/>
        <v>0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spans="1:26" ht="15" customHeight="1">
      <c r="A104" s="97">
        <v>5</v>
      </c>
      <c r="B104" s="97"/>
      <c r="C104" s="97" t="s">
        <v>125</v>
      </c>
      <c r="D104" s="134" t="s">
        <v>217</v>
      </c>
      <c r="E104" s="146">
        <v>0.55000000000000004</v>
      </c>
      <c r="F104" s="146"/>
      <c r="G104" s="146">
        <f t="shared" si="11"/>
        <v>0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</row>
    <row r="105" spans="1:26" ht="12.75" customHeight="1">
      <c r="A105" s="97"/>
      <c r="B105" s="97"/>
      <c r="C105" s="97"/>
      <c r="D105" s="151" t="s">
        <v>132</v>
      </c>
      <c r="E105" s="152">
        <v>1</v>
      </c>
      <c r="F105" s="152">
        <f>SUM(G100:G104)</f>
        <v>0</v>
      </c>
      <c r="G105" s="152">
        <f t="shared" si="11"/>
        <v>0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</row>
    <row r="106" spans="1:26" ht="12.75" customHeight="1">
      <c r="A106" s="154"/>
      <c r="B106" s="155"/>
      <c r="C106" s="156"/>
      <c r="D106" s="157"/>
      <c r="E106" s="158"/>
      <c r="F106" s="158"/>
      <c r="G106" s="158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</row>
    <row r="107" spans="1:26" ht="21.75" customHeight="1">
      <c r="A107" s="97" t="s">
        <v>218</v>
      </c>
      <c r="B107" s="144" t="s">
        <v>106</v>
      </c>
      <c r="C107" s="97" t="s">
        <v>125</v>
      </c>
      <c r="D107" s="103" t="s">
        <v>219</v>
      </c>
      <c r="E107" s="105"/>
      <c r="F107" s="105"/>
      <c r="G107" s="105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</row>
    <row r="108" spans="1:26" ht="12.75" customHeight="1">
      <c r="A108" s="97">
        <v>1</v>
      </c>
      <c r="B108" s="97"/>
      <c r="C108" s="97" t="s">
        <v>125</v>
      </c>
      <c r="D108" s="103" t="s">
        <v>219</v>
      </c>
      <c r="E108" s="105">
        <v>1</v>
      </c>
      <c r="F108" s="105"/>
      <c r="G108" s="105">
        <f t="shared" ref="G108:G110" si="12">ROUND(E108*F108,2)</f>
        <v>0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</row>
    <row r="109" spans="1:26" ht="12.75" customHeight="1">
      <c r="A109" s="97">
        <v>2</v>
      </c>
      <c r="B109" s="97"/>
      <c r="C109" s="97" t="s">
        <v>51</v>
      </c>
      <c r="D109" s="103" t="s">
        <v>113</v>
      </c>
      <c r="E109" s="105">
        <v>1.3</v>
      </c>
      <c r="F109" s="105"/>
      <c r="G109" s="105">
        <f t="shared" si="12"/>
        <v>0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5.75" customHeight="1">
      <c r="A110" s="191"/>
      <c r="B110" s="191"/>
      <c r="C110" s="191"/>
      <c r="D110" s="151" t="s">
        <v>132</v>
      </c>
      <c r="E110" s="152">
        <v>1</v>
      </c>
      <c r="F110" s="152">
        <f>(G108+G109)</f>
        <v>0</v>
      </c>
      <c r="G110" s="152">
        <f t="shared" si="12"/>
        <v>0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2.75" customHeight="1">
      <c r="A111" s="154"/>
      <c r="B111" s="155"/>
      <c r="C111" s="156"/>
      <c r="D111" s="157"/>
      <c r="E111" s="158"/>
      <c r="F111" s="158"/>
      <c r="G111" s="158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25.5" customHeight="1">
      <c r="A112" s="97" t="s">
        <v>220</v>
      </c>
      <c r="B112" s="144" t="s">
        <v>106</v>
      </c>
      <c r="C112" s="97" t="s">
        <v>125</v>
      </c>
      <c r="D112" s="103" t="s">
        <v>221</v>
      </c>
      <c r="E112" s="105"/>
      <c r="F112" s="105"/>
      <c r="G112" s="105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25.5" customHeight="1">
      <c r="A113" s="97">
        <v>1</v>
      </c>
      <c r="B113" s="97"/>
      <c r="C113" s="97" t="s">
        <v>125</v>
      </c>
      <c r="D113" s="103" t="s">
        <v>221</v>
      </c>
      <c r="E113" s="105">
        <v>1</v>
      </c>
      <c r="F113" s="105"/>
      <c r="G113" s="105">
        <f t="shared" ref="G113:G115" si="13">ROUND(E113*F113,2)</f>
        <v>0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2.75" customHeight="1">
      <c r="A114" s="97">
        <v>2</v>
      </c>
      <c r="B114" s="97"/>
      <c r="C114" s="97" t="s">
        <v>51</v>
      </c>
      <c r="D114" s="103" t="s">
        <v>113</v>
      </c>
      <c r="E114" s="105">
        <v>1.2</v>
      </c>
      <c r="F114" s="105"/>
      <c r="G114" s="105">
        <f t="shared" si="13"/>
        <v>0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5" customHeight="1">
      <c r="A115" s="191"/>
      <c r="B115" s="191"/>
      <c r="C115" s="191"/>
      <c r="D115" s="151" t="s">
        <v>132</v>
      </c>
      <c r="E115" s="152">
        <v>1</v>
      </c>
      <c r="F115" s="152">
        <f>(G113+G114)</f>
        <v>0</v>
      </c>
      <c r="G115" s="152">
        <f t="shared" si="13"/>
        <v>0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2.75" customHeight="1">
      <c r="A116" s="154"/>
      <c r="B116" s="155"/>
      <c r="C116" s="156"/>
      <c r="D116" s="157"/>
      <c r="E116" s="158"/>
      <c r="F116" s="158"/>
      <c r="G116" s="158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25.5" customHeight="1">
      <c r="A117" s="97" t="s">
        <v>223</v>
      </c>
      <c r="B117" s="144" t="s">
        <v>106</v>
      </c>
      <c r="C117" s="97" t="s">
        <v>125</v>
      </c>
      <c r="D117" s="103" t="s">
        <v>224</v>
      </c>
      <c r="E117" s="105"/>
      <c r="F117" s="105"/>
      <c r="G117" s="105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2.75" customHeight="1">
      <c r="A118" s="97">
        <v>1</v>
      </c>
      <c r="B118" s="97"/>
      <c r="C118" s="97" t="s">
        <v>125</v>
      </c>
      <c r="D118" s="103" t="s">
        <v>219</v>
      </c>
      <c r="E118" s="105">
        <v>1</v>
      </c>
      <c r="F118" s="105"/>
      <c r="G118" s="105">
        <f t="shared" ref="G118:G120" si="14">ROUND(E118*F118,2)</f>
        <v>0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2.75" customHeight="1">
      <c r="A119" s="97">
        <v>2</v>
      </c>
      <c r="B119" s="97"/>
      <c r="C119" s="97" t="s">
        <v>51</v>
      </c>
      <c r="D119" s="103" t="s">
        <v>113</v>
      </c>
      <c r="E119" s="105">
        <v>0.19</v>
      </c>
      <c r="F119" s="105"/>
      <c r="G119" s="105">
        <f t="shared" si="14"/>
        <v>0</v>
      </c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5" customHeight="1">
      <c r="A120" s="191"/>
      <c r="B120" s="191"/>
      <c r="C120" s="191"/>
      <c r="D120" s="151" t="s">
        <v>132</v>
      </c>
      <c r="E120" s="152">
        <v>1</v>
      </c>
      <c r="F120" s="152">
        <f>(G118+G119)</f>
        <v>0</v>
      </c>
      <c r="G120" s="152">
        <f t="shared" si="14"/>
        <v>0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5.75" customHeight="1">
      <c r="A121" s="248"/>
      <c r="B121" s="249"/>
      <c r="C121" s="250"/>
      <c r="D121" s="251"/>
      <c r="E121" s="252"/>
      <c r="F121" s="252"/>
      <c r="G121" s="252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26.25" customHeight="1">
      <c r="A122" s="253" t="s">
        <v>228</v>
      </c>
      <c r="B122" s="144" t="s">
        <v>106</v>
      </c>
      <c r="C122" s="97" t="s">
        <v>125</v>
      </c>
      <c r="D122" s="103" t="s">
        <v>229</v>
      </c>
      <c r="E122" s="105"/>
      <c r="F122" s="105"/>
      <c r="G122" s="105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5" customHeight="1">
      <c r="A123" s="191"/>
      <c r="B123" s="97"/>
      <c r="C123" s="97" t="s">
        <v>51</v>
      </c>
      <c r="D123" s="103" t="s">
        <v>113</v>
      </c>
      <c r="E123" s="105">
        <v>0.19</v>
      </c>
      <c r="F123" s="105"/>
      <c r="G123" s="105">
        <f>ROUND(E123*F123,2)</f>
        <v>0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5" customHeight="1">
      <c r="A124" s="191"/>
      <c r="B124" s="191"/>
      <c r="C124" s="191"/>
      <c r="D124" s="151" t="s">
        <v>132</v>
      </c>
      <c r="E124" s="152">
        <v>1</v>
      </c>
      <c r="F124" s="152">
        <f>G123</f>
        <v>0</v>
      </c>
      <c r="G124" s="152">
        <f>G123</f>
        <v>0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2.75" customHeight="1">
      <c r="A125" s="154"/>
      <c r="B125" s="155"/>
      <c r="C125" s="156"/>
      <c r="D125" s="157"/>
      <c r="E125" s="158"/>
      <c r="F125" s="158"/>
      <c r="G125" s="158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25.5" customHeight="1">
      <c r="A126" s="253" t="s">
        <v>231</v>
      </c>
      <c r="B126" s="144" t="s">
        <v>106</v>
      </c>
      <c r="C126" s="97" t="s">
        <v>125</v>
      </c>
      <c r="D126" s="103" t="s">
        <v>232</v>
      </c>
      <c r="E126" s="105"/>
      <c r="F126" s="105"/>
      <c r="G126" s="105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2.75" customHeight="1">
      <c r="A127" s="191"/>
      <c r="B127" s="97"/>
      <c r="C127" s="97" t="s">
        <v>51</v>
      </c>
      <c r="D127" s="103" t="s">
        <v>113</v>
      </c>
      <c r="E127" s="105">
        <v>0.19</v>
      </c>
      <c r="F127" s="105"/>
      <c r="G127" s="105">
        <f>ROUND(E127*F127,2)</f>
        <v>0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2.75" customHeight="1">
      <c r="A128" s="191"/>
      <c r="B128" s="191"/>
      <c r="C128" s="191"/>
      <c r="D128" s="151" t="s">
        <v>132</v>
      </c>
      <c r="E128" s="152">
        <v>1</v>
      </c>
      <c r="F128" s="152">
        <f>G127</f>
        <v>0</v>
      </c>
      <c r="G128" s="152">
        <f>G127</f>
        <v>0</v>
      </c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5" customHeight="1">
      <c r="A129" s="154"/>
      <c r="B129" s="154"/>
      <c r="C129" s="154"/>
      <c r="D129" s="154"/>
      <c r="E129" s="154"/>
      <c r="F129" s="154"/>
      <c r="G129" s="154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25.5" customHeight="1">
      <c r="A130" s="253" t="s">
        <v>234</v>
      </c>
      <c r="B130" s="144" t="s">
        <v>106</v>
      </c>
      <c r="C130" s="97" t="s">
        <v>125</v>
      </c>
      <c r="D130" s="103" t="s">
        <v>235</v>
      </c>
      <c r="E130" s="105"/>
      <c r="F130" s="105"/>
      <c r="G130" s="105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5" customHeight="1">
      <c r="A131" s="191"/>
      <c r="B131" s="97"/>
      <c r="C131" s="97" t="s">
        <v>51</v>
      </c>
      <c r="D131" s="103" t="s">
        <v>113</v>
      </c>
      <c r="E131" s="105">
        <v>0.19</v>
      </c>
      <c r="F131" s="105"/>
      <c r="G131" s="105">
        <f>ROUND(E131*F131,2)</f>
        <v>0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5" customHeight="1">
      <c r="A132" s="191"/>
      <c r="B132" s="191"/>
      <c r="C132" s="191"/>
      <c r="D132" s="151" t="s">
        <v>132</v>
      </c>
      <c r="E132" s="152">
        <v>1</v>
      </c>
      <c r="F132" s="152">
        <f>G131</f>
        <v>0</v>
      </c>
      <c r="G132" s="152">
        <f>G131</f>
        <v>0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5" customHeight="1">
      <c r="A133" s="154"/>
      <c r="B133" s="154"/>
      <c r="C133" s="154"/>
      <c r="D133" s="154"/>
      <c r="E133" s="154"/>
      <c r="F133" s="154"/>
      <c r="G133" s="154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24.75" customHeight="1">
      <c r="A134" s="97" t="s">
        <v>236</v>
      </c>
      <c r="B134" s="144" t="s">
        <v>106</v>
      </c>
      <c r="C134" s="97" t="s">
        <v>125</v>
      </c>
      <c r="D134" s="103" t="s">
        <v>238</v>
      </c>
      <c r="E134" s="105"/>
      <c r="F134" s="105"/>
      <c r="G134" s="105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2.75" customHeight="1">
      <c r="A135" s="97">
        <v>1</v>
      </c>
      <c r="B135" s="97"/>
      <c r="C135" s="97" t="s">
        <v>51</v>
      </c>
      <c r="D135" s="103" t="s">
        <v>239</v>
      </c>
      <c r="E135" s="105">
        <v>1</v>
      </c>
      <c r="F135" s="105"/>
      <c r="G135" s="105">
        <f t="shared" ref="G135:G136" si="15">ROUND(E135*F135,2)</f>
        <v>0</v>
      </c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2.75" customHeight="1">
      <c r="A136" s="97">
        <v>2</v>
      </c>
      <c r="B136" s="97"/>
      <c r="C136" s="97" t="s">
        <v>51</v>
      </c>
      <c r="D136" s="103" t="s">
        <v>112</v>
      </c>
      <c r="E136" s="105">
        <v>1</v>
      </c>
      <c r="F136" s="105"/>
      <c r="G136" s="105">
        <f t="shared" si="15"/>
        <v>0</v>
      </c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5" customHeight="1">
      <c r="A137" s="97">
        <v>3</v>
      </c>
      <c r="B137" s="97"/>
      <c r="C137" s="97" t="s">
        <v>51</v>
      </c>
      <c r="D137" s="103" t="s">
        <v>113</v>
      </c>
      <c r="E137" s="146">
        <v>1</v>
      </c>
      <c r="F137" s="146"/>
      <c r="G137" s="150">
        <f>F137*E137</f>
        <v>0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25.5" customHeight="1">
      <c r="A138" s="97">
        <v>4</v>
      </c>
      <c r="B138" s="97"/>
      <c r="C138" s="97" t="s">
        <v>125</v>
      </c>
      <c r="D138" s="103" t="s">
        <v>240</v>
      </c>
      <c r="E138" s="105">
        <v>1</v>
      </c>
      <c r="F138" s="105"/>
      <c r="G138" s="105">
        <f t="shared" ref="G138:G143" si="16">ROUND(E138*F138,2)</f>
        <v>0</v>
      </c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2.75" customHeight="1">
      <c r="A139" s="97">
        <v>5</v>
      </c>
      <c r="B139" s="97"/>
      <c r="C139" s="97" t="s">
        <v>125</v>
      </c>
      <c r="D139" s="103" t="s">
        <v>241</v>
      </c>
      <c r="E139" s="105">
        <v>0.08</v>
      </c>
      <c r="F139" s="105"/>
      <c r="G139" s="105">
        <f t="shared" si="16"/>
        <v>0</v>
      </c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38.25" customHeight="1">
      <c r="A140" s="97">
        <v>6</v>
      </c>
      <c r="B140" s="97"/>
      <c r="C140" s="97" t="s">
        <v>125</v>
      </c>
      <c r="D140" s="103" t="s">
        <v>243</v>
      </c>
      <c r="E140" s="105">
        <v>1</v>
      </c>
      <c r="F140" s="105"/>
      <c r="G140" s="105">
        <f t="shared" si="16"/>
        <v>0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25.5" customHeight="1">
      <c r="A141" s="97">
        <v>7</v>
      </c>
      <c r="B141" s="97"/>
      <c r="C141" s="97" t="s">
        <v>125</v>
      </c>
      <c r="D141" s="103" t="s">
        <v>244</v>
      </c>
      <c r="E141" s="105">
        <v>1</v>
      </c>
      <c r="F141" s="105"/>
      <c r="G141" s="105">
        <f t="shared" si="16"/>
        <v>0</v>
      </c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39.75" customHeight="1">
      <c r="A142" s="97">
        <v>8</v>
      </c>
      <c r="B142" s="97"/>
      <c r="C142" s="97" t="s">
        <v>60</v>
      </c>
      <c r="D142" s="103" t="s">
        <v>245</v>
      </c>
      <c r="E142" s="105">
        <v>1</v>
      </c>
      <c r="F142" s="105"/>
      <c r="G142" s="105">
        <f t="shared" si="16"/>
        <v>0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4.25" customHeight="1">
      <c r="A143" s="191"/>
      <c r="B143" s="191"/>
      <c r="C143" s="191"/>
      <c r="D143" s="151" t="s">
        <v>132</v>
      </c>
      <c r="E143" s="152">
        <v>1</v>
      </c>
      <c r="F143" s="152">
        <f>SUM(G135:G142)</f>
        <v>0</v>
      </c>
      <c r="G143" s="152">
        <f t="shared" si="16"/>
        <v>0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2.75" customHeight="1">
      <c r="A144" s="154"/>
      <c r="B144" s="155"/>
      <c r="C144" s="156"/>
      <c r="D144" s="157"/>
      <c r="E144" s="158"/>
      <c r="F144" s="158"/>
      <c r="G144" s="158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2.75" customHeight="1">
      <c r="A145" s="97" t="s">
        <v>247</v>
      </c>
      <c r="B145" s="144" t="s">
        <v>106</v>
      </c>
      <c r="C145" s="97" t="s">
        <v>248</v>
      </c>
      <c r="D145" s="103" t="s">
        <v>249</v>
      </c>
      <c r="E145" s="105"/>
      <c r="F145" s="105"/>
      <c r="G145" s="105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5" customHeight="1">
      <c r="A146" s="97">
        <v>1</v>
      </c>
      <c r="B146" s="97"/>
      <c r="C146" s="97" t="s">
        <v>51</v>
      </c>
      <c r="D146" s="103" t="s">
        <v>112</v>
      </c>
      <c r="E146" s="105">
        <v>0.02</v>
      </c>
      <c r="F146" s="146"/>
      <c r="G146" s="105">
        <f t="shared" ref="G146:G148" si="17">F146*E146</f>
        <v>0</v>
      </c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2.75" customHeight="1">
      <c r="A147" s="133">
        <v>2</v>
      </c>
      <c r="B147" s="133"/>
      <c r="C147" s="133" t="s">
        <v>251</v>
      </c>
      <c r="D147" s="134" t="s">
        <v>252</v>
      </c>
      <c r="E147" s="136">
        <v>1</v>
      </c>
      <c r="F147" s="136"/>
      <c r="G147" s="136">
        <f t="shared" si="17"/>
        <v>0</v>
      </c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2.75" customHeight="1">
      <c r="A148" s="97"/>
      <c r="B148" s="97"/>
      <c r="C148" s="97"/>
      <c r="D148" s="151" t="s">
        <v>132</v>
      </c>
      <c r="E148" s="171">
        <v>1</v>
      </c>
      <c r="F148" s="171"/>
      <c r="G148" s="171">
        <f t="shared" si="17"/>
        <v>0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2.75" customHeight="1">
      <c r="A149" s="154"/>
      <c r="B149" s="155"/>
      <c r="C149" s="156"/>
      <c r="D149" s="157"/>
      <c r="E149" s="158"/>
      <c r="F149" s="158"/>
      <c r="G149" s="158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25.5" customHeight="1">
      <c r="A150" s="97" t="s">
        <v>254</v>
      </c>
      <c r="B150" s="144" t="s">
        <v>106</v>
      </c>
      <c r="C150" s="97" t="s">
        <v>125</v>
      </c>
      <c r="D150" s="103" t="s">
        <v>255</v>
      </c>
      <c r="E150" s="105"/>
      <c r="F150" s="105"/>
      <c r="G150" s="105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2.75" customHeight="1">
      <c r="A151" s="97">
        <v>1</v>
      </c>
      <c r="B151" s="97"/>
      <c r="C151" s="97" t="s">
        <v>125</v>
      </c>
      <c r="D151" s="103" t="s">
        <v>256</v>
      </c>
      <c r="E151" s="105">
        <v>1</v>
      </c>
      <c r="F151" s="105"/>
      <c r="G151" s="105">
        <f>ROUND(E151*F151,2)</f>
        <v>0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5" customHeight="1">
      <c r="A152" s="97">
        <v>2</v>
      </c>
      <c r="B152" s="97"/>
      <c r="C152" s="97" t="s">
        <v>51</v>
      </c>
      <c r="D152" s="103" t="s">
        <v>113</v>
      </c>
      <c r="E152" s="146">
        <v>0.2</v>
      </c>
      <c r="F152" s="146"/>
      <c r="G152" s="150">
        <f t="shared" ref="G152:G155" si="18">F152*E152</f>
        <v>0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5" customHeight="1">
      <c r="A153" s="97">
        <v>3</v>
      </c>
      <c r="B153" s="97"/>
      <c r="C153" s="97" t="s">
        <v>51</v>
      </c>
      <c r="D153" s="103" t="s">
        <v>112</v>
      </c>
      <c r="E153" s="146">
        <v>0.55000000000000004</v>
      </c>
      <c r="F153" s="146"/>
      <c r="G153" s="150">
        <f t="shared" si="18"/>
        <v>0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5" customHeight="1">
      <c r="A154" s="97">
        <v>4</v>
      </c>
      <c r="B154" s="97"/>
      <c r="C154" s="97" t="s">
        <v>121</v>
      </c>
      <c r="D154" s="103" t="s">
        <v>258</v>
      </c>
      <c r="E154" s="146">
        <v>0.05</v>
      </c>
      <c r="F154" s="146"/>
      <c r="G154" s="150">
        <f t="shared" si="18"/>
        <v>0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25.5" customHeight="1">
      <c r="A155" s="97">
        <v>5</v>
      </c>
      <c r="B155" s="97"/>
      <c r="C155" s="97" t="s">
        <v>125</v>
      </c>
      <c r="D155" s="103" t="s">
        <v>259</v>
      </c>
      <c r="E155" s="146">
        <v>4</v>
      </c>
      <c r="F155" s="146"/>
      <c r="G155" s="150">
        <f t="shared" si="18"/>
        <v>0</v>
      </c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20.25" customHeight="1">
      <c r="A156" s="191"/>
      <c r="B156" s="191"/>
      <c r="C156" s="191"/>
      <c r="D156" s="151" t="s">
        <v>132</v>
      </c>
      <c r="E156" s="152">
        <v>1</v>
      </c>
      <c r="F156" s="152">
        <f>SUM(G151:G155)</f>
        <v>0</v>
      </c>
      <c r="G156" s="152">
        <f>ROUND(E156*F156,2)</f>
        <v>0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2.75" customHeight="1">
      <c r="A157" s="154"/>
      <c r="B157" s="155"/>
      <c r="C157" s="156"/>
      <c r="D157" s="157"/>
      <c r="E157" s="158"/>
      <c r="F157" s="158"/>
      <c r="G157" s="158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25.5" customHeight="1">
      <c r="A158" s="97" t="s">
        <v>257</v>
      </c>
      <c r="B158" s="144" t="s">
        <v>106</v>
      </c>
      <c r="C158" s="97" t="s">
        <v>125</v>
      </c>
      <c r="D158" s="103" t="s">
        <v>260</v>
      </c>
      <c r="E158" s="105"/>
      <c r="F158" s="260"/>
      <c r="G158" s="97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5" customHeight="1">
      <c r="A159" s="97">
        <v>1</v>
      </c>
      <c r="B159" s="97"/>
      <c r="C159" s="97" t="s">
        <v>51</v>
      </c>
      <c r="D159" s="103" t="s">
        <v>113</v>
      </c>
      <c r="E159" s="146">
        <v>0.55000000000000004</v>
      </c>
      <c r="F159" s="146"/>
      <c r="G159" s="150">
        <f t="shared" ref="G159:G164" si="19">F159*E159</f>
        <v>0</v>
      </c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5" customHeight="1">
      <c r="A160" s="97">
        <v>2</v>
      </c>
      <c r="B160" s="97"/>
      <c r="C160" s="97" t="s">
        <v>51</v>
      </c>
      <c r="D160" s="103" t="s">
        <v>112</v>
      </c>
      <c r="E160" s="146">
        <v>0.55000000000000004</v>
      </c>
      <c r="F160" s="146"/>
      <c r="G160" s="150">
        <f t="shared" si="19"/>
        <v>0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25.5" customHeight="1">
      <c r="A161" s="97">
        <v>3</v>
      </c>
      <c r="B161" s="97"/>
      <c r="C161" s="97" t="s">
        <v>125</v>
      </c>
      <c r="D161" s="103" t="s">
        <v>264</v>
      </c>
      <c r="E161" s="146">
        <v>1</v>
      </c>
      <c r="F161" s="146"/>
      <c r="G161" s="150">
        <f t="shared" si="19"/>
        <v>0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5" customHeight="1">
      <c r="A162" s="97">
        <v>4</v>
      </c>
      <c r="B162" s="97"/>
      <c r="C162" s="97" t="s">
        <v>121</v>
      </c>
      <c r="D162" s="103" t="s">
        <v>258</v>
      </c>
      <c r="E162" s="146">
        <v>0.05</v>
      </c>
      <c r="F162" s="146"/>
      <c r="G162" s="150">
        <f t="shared" si="19"/>
        <v>0</v>
      </c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25.5" customHeight="1">
      <c r="A163" s="124">
        <v>5</v>
      </c>
      <c r="B163" s="97"/>
      <c r="C163" s="124" t="s">
        <v>125</v>
      </c>
      <c r="D163" s="103" t="s">
        <v>152</v>
      </c>
      <c r="E163" s="129">
        <v>4</v>
      </c>
      <c r="F163" s="105"/>
      <c r="G163" s="129">
        <f t="shared" si="19"/>
        <v>0</v>
      </c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2.75" customHeight="1">
      <c r="A164" s="97"/>
      <c r="B164" s="97"/>
      <c r="C164" s="97"/>
      <c r="D164" s="151" t="s">
        <v>132</v>
      </c>
      <c r="E164" s="152">
        <v>1</v>
      </c>
      <c r="F164" s="152">
        <f>SUM(G159:G163)</f>
        <v>0</v>
      </c>
      <c r="G164" s="152">
        <f t="shared" si="19"/>
        <v>0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2.75" customHeight="1">
      <c r="A165" s="154"/>
      <c r="B165" s="155"/>
      <c r="C165" s="156"/>
      <c r="D165" s="157"/>
      <c r="E165" s="158"/>
      <c r="F165" s="158"/>
      <c r="G165" s="158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5" customHeight="1">
      <c r="A166" s="97" t="s">
        <v>265</v>
      </c>
      <c r="B166" s="144" t="s">
        <v>106</v>
      </c>
      <c r="C166" s="97" t="s">
        <v>125</v>
      </c>
      <c r="D166" s="263" t="s">
        <v>266</v>
      </c>
      <c r="E166" s="146"/>
      <c r="F166" s="146"/>
      <c r="G166" s="15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5" customHeight="1">
      <c r="A167" s="97">
        <v>1</v>
      </c>
      <c r="B167" s="97"/>
      <c r="C167" s="97" t="s">
        <v>51</v>
      </c>
      <c r="D167" s="103" t="s">
        <v>113</v>
      </c>
      <c r="E167" s="146">
        <v>4.0999999999999996</v>
      </c>
      <c r="F167" s="146"/>
      <c r="G167" s="150">
        <f t="shared" ref="G167:G172" si="20">F167*E167</f>
        <v>0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5" customHeight="1">
      <c r="A168" s="97">
        <v>2</v>
      </c>
      <c r="B168" s="97"/>
      <c r="C168" s="97" t="s">
        <v>51</v>
      </c>
      <c r="D168" s="103" t="s">
        <v>112</v>
      </c>
      <c r="E168" s="146">
        <v>4.0999999999999996</v>
      </c>
      <c r="F168" s="146"/>
      <c r="G168" s="150">
        <f t="shared" si="20"/>
        <v>0</v>
      </c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25.5" customHeight="1">
      <c r="A169" s="133">
        <v>3</v>
      </c>
      <c r="B169" s="133"/>
      <c r="C169" s="133" t="s">
        <v>267</v>
      </c>
      <c r="D169" s="103" t="s">
        <v>268</v>
      </c>
      <c r="E169" s="267">
        <v>1</v>
      </c>
      <c r="F169" s="268"/>
      <c r="G169" s="150">
        <f t="shared" si="20"/>
        <v>0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5" customHeight="1">
      <c r="A170" s="97">
        <v>4</v>
      </c>
      <c r="B170" s="97"/>
      <c r="C170" s="97" t="s">
        <v>121</v>
      </c>
      <c r="D170" s="103" t="s">
        <v>258</v>
      </c>
      <c r="E170" s="146">
        <v>0.05</v>
      </c>
      <c r="F170" s="146"/>
      <c r="G170" s="150">
        <f t="shared" si="20"/>
        <v>0</v>
      </c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25.5" customHeight="1">
      <c r="A171" s="124">
        <v>5</v>
      </c>
      <c r="B171" s="97"/>
      <c r="C171" s="97" t="s">
        <v>125</v>
      </c>
      <c r="D171" s="103" t="s">
        <v>152</v>
      </c>
      <c r="E171" s="129">
        <v>4</v>
      </c>
      <c r="F171" s="105"/>
      <c r="G171" s="129">
        <f t="shared" si="20"/>
        <v>0</v>
      </c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2.75" customHeight="1">
      <c r="A172" s="97"/>
      <c r="B172" s="97"/>
      <c r="C172" s="97"/>
      <c r="D172" s="151" t="s">
        <v>132</v>
      </c>
      <c r="E172" s="152">
        <v>1</v>
      </c>
      <c r="F172" s="152">
        <f>SUM(G167:G171)</f>
        <v>0</v>
      </c>
      <c r="G172" s="152">
        <f t="shared" si="20"/>
        <v>0</v>
      </c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2.75" customHeight="1">
      <c r="A173" s="154"/>
      <c r="B173" s="155"/>
      <c r="C173" s="156"/>
      <c r="D173" s="157"/>
      <c r="E173" s="158"/>
      <c r="F173" s="158"/>
      <c r="G173" s="158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5" customHeight="1">
      <c r="A174" s="97" t="s">
        <v>242</v>
      </c>
      <c r="B174" s="144" t="s">
        <v>106</v>
      </c>
      <c r="C174" s="97" t="s">
        <v>125</v>
      </c>
      <c r="D174" s="103" t="s">
        <v>270</v>
      </c>
      <c r="E174" s="146"/>
      <c r="F174" s="146"/>
      <c r="G174" s="15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5" customHeight="1">
      <c r="A175" s="97">
        <v>1</v>
      </c>
      <c r="B175" s="97"/>
      <c r="C175" s="97" t="s">
        <v>51</v>
      </c>
      <c r="D175" s="103" t="s">
        <v>112</v>
      </c>
      <c r="E175" s="146">
        <v>0.89</v>
      </c>
      <c r="F175" s="146"/>
      <c r="G175" s="150">
        <f t="shared" ref="G175:G177" si="21">F175*E175</f>
        <v>0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5" customHeight="1">
      <c r="A176" s="97">
        <v>2</v>
      </c>
      <c r="B176" s="97"/>
      <c r="C176" s="97" t="s">
        <v>121</v>
      </c>
      <c r="D176" s="103" t="s">
        <v>258</v>
      </c>
      <c r="E176" s="146">
        <v>0.09</v>
      </c>
      <c r="F176" s="146"/>
      <c r="G176" s="150">
        <f t="shared" si="21"/>
        <v>0</v>
      </c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2.75" customHeight="1">
      <c r="A177" s="97"/>
      <c r="B177" s="97"/>
      <c r="C177" s="97"/>
      <c r="D177" s="151" t="s">
        <v>132</v>
      </c>
      <c r="E177" s="152">
        <v>1</v>
      </c>
      <c r="F177" s="152">
        <f>SUM(G175:G176)</f>
        <v>0</v>
      </c>
      <c r="G177" s="152">
        <f t="shared" si="21"/>
        <v>0</v>
      </c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2.75" customHeight="1">
      <c r="A178" s="154"/>
      <c r="B178" s="155"/>
      <c r="C178" s="156"/>
      <c r="D178" s="157"/>
      <c r="E178" s="158"/>
      <c r="F178" s="158"/>
      <c r="G178" s="158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25.5" customHeight="1">
      <c r="A179" s="97" t="s">
        <v>271</v>
      </c>
      <c r="B179" s="144" t="s">
        <v>106</v>
      </c>
      <c r="C179" s="97" t="s">
        <v>125</v>
      </c>
      <c r="D179" s="103" t="s">
        <v>253</v>
      </c>
      <c r="E179" s="105"/>
      <c r="F179" s="105"/>
      <c r="G179" s="105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5" customHeight="1">
      <c r="A180" s="97">
        <v>1</v>
      </c>
      <c r="B180" s="97"/>
      <c r="C180" s="97" t="s">
        <v>51</v>
      </c>
      <c r="D180" s="103" t="s">
        <v>113</v>
      </c>
      <c r="E180" s="146">
        <v>0.22</v>
      </c>
      <c r="F180" s="146"/>
      <c r="G180" s="105">
        <f t="shared" ref="G180:G184" si="22">F180*E180</f>
        <v>0</v>
      </c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5" customHeight="1">
      <c r="A181" s="97">
        <v>2</v>
      </c>
      <c r="B181" s="97"/>
      <c r="C181" s="97" t="s">
        <v>51</v>
      </c>
      <c r="D181" s="103" t="s">
        <v>112</v>
      </c>
      <c r="E181" s="146">
        <v>0.22</v>
      </c>
      <c r="F181" s="146"/>
      <c r="G181" s="105">
        <f t="shared" si="22"/>
        <v>0</v>
      </c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25.5" customHeight="1">
      <c r="A182" s="97">
        <v>3</v>
      </c>
      <c r="B182" s="97"/>
      <c r="C182" s="97" t="s">
        <v>121</v>
      </c>
      <c r="D182" s="103" t="s">
        <v>187</v>
      </c>
      <c r="E182" s="146">
        <v>0.05</v>
      </c>
      <c r="F182" s="146"/>
      <c r="G182" s="105">
        <f t="shared" si="22"/>
        <v>0</v>
      </c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25.5" customHeight="1">
      <c r="A183" s="133">
        <v>4</v>
      </c>
      <c r="B183" s="133"/>
      <c r="C183" s="133" t="s">
        <v>125</v>
      </c>
      <c r="D183" s="134" t="s">
        <v>272</v>
      </c>
      <c r="E183" s="162">
        <v>1</v>
      </c>
      <c r="F183" s="162"/>
      <c r="G183" s="136">
        <f t="shared" si="22"/>
        <v>0</v>
      </c>
      <c r="H183" s="140"/>
      <c r="I183" s="270"/>
      <c r="J183" s="270"/>
      <c r="K183" s="270"/>
      <c r="L183" s="271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2.75" customHeight="1">
      <c r="A184" s="97"/>
      <c r="B184" s="97"/>
      <c r="C184" s="97"/>
      <c r="D184" s="151" t="s">
        <v>132</v>
      </c>
      <c r="E184" s="152">
        <v>1</v>
      </c>
      <c r="F184" s="152">
        <f>SUM(G180:G183)</f>
        <v>0</v>
      </c>
      <c r="G184" s="152">
        <f t="shared" si="22"/>
        <v>0</v>
      </c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2.75" customHeight="1">
      <c r="A185" s="154"/>
      <c r="B185" s="155"/>
      <c r="C185" s="156"/>
      <c r="D185" s="157"/>
      <c r="E185" s="158"/>
      <c r="F185" s="158"/>
      <c r="G185" s="158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42.75" customHeight="1">
      <c r="A186" s="97" t="s">
        <v>151</v>
      </c>
      <c r="B186" s="144" t="s">
        <v>106</v>
      </c>
      <c r="C186" s="97" t="s">
        <v>70</v>
      </c>
      <c r="D186" s="103" t="s">
        <v>273</v>
      </c>
      <c r="E186" s="146"/>
      <c r="F186" s="146"/>
      <c r="G186" s="15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33" customHeight="1">
      <c r="A187" s="97">
        <v>1</v>
      </c>
      <c r="B187" s="97"/>
      <c r="C187" s="97" t="s">
        <v>82</v>
      </c>
      <c r="D187" s="103" t="s">
        <v>274</v>
      </c>
      <c r="E187" s="146">
        <v>7.4999999999999997E-3</v>
      </c>
      <c r="F187" s="146"/>
      <c r="G187" s="150">
        <f t="shared" ref="G187:G193" si="23">F187*E187</f>
        <v>0</v>
      </c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25.5" customHeight="1">
      <c r="A188" s="97">
        <v>2</v>
      </c>
      <c r="B188" s="97"/>
      <c r="C188" s="97" t="s">
        <v>60</v>
      </c>
      <c r="D188" s="103" t="s">
        <v>275</v>
      </c>
      <c r="E188" s="146">
        <v>0.11</v>
      </c>
      <c r="F188" s="146"/>
      <c r="G188" s="150">
        <f t="shared" si="23"/>
        <v>0</v>
      </c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25.5" customHeight="1">
      <c r="A189" s="97">
        <v>3</v>
      </c>
      <c r="B189" s="97"/>
      <c r="C189" s="97" t="s">
        <v>121</v>
      </c>
      <c r="D189" s="103" t="s">
        <v>276</v>
      </c>
      <c r="E189" s="146">
        <v>0.27</v>
      </c>
      <c r="F189" s="146"/>
      <c r="G189" s="150">
        <f t="shared" si="23"/>
        <v>0</v>
      </c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5" customHeight="1">
      <c r="A190" s="97">
        <v>4</v>
      </c>
      <c r="B190" s="97"/>
      <c r="C190" s="97" t="s">
        <v>60</v>
      </c>
      <c r="D190" s="103" t="s">
        <v>277</v>
      </c>
      <c r="E190" s="146">
        <v>0.2</v>
      </c>
      <c r="F190" s="146"/>
      <c r="G190" s="150">
        <f t="shared" si="23"/>
        <v>0</v>
      </c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2.75" customHeight="1">
      <c r="A191" s="97"/>
      <c r="B191" s="97"/>
      <c r="C191" s="97" t="s">
        <v>51</v>
      </c>
      <c r="D191" s="103" t="s">
        <v>113</v>
      </c>
      <c r="E191" s="146">
        <v>0.2</v>
      </c>
      <c r="F191" s="146"/>
      <c r="G191" s="105">
        <f t="shared" si="23"/>
        <v>0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2.75" customHeight="1">
      <c r="A192" s="97"/>
      <c r="B192" s="97"/>
      <c r="C192" s="97" t="s">
        <v>51</v>
      </c>
      <c r="D192" s="103" t="s">
        <v>112</v>
      </c>
      <c r="E192" s="146">
        <v>0.2</v>
      </c>
      <c r="F192" s="146"/>
      <c r="G192" s="105">
        <f t="shared" si="23"/>
        <v>0</v>
      </c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2.75" customHeight="1">
      <c r="A193" s="97"/>
      <c r="B193" s="97"/>
      <c r="C193" s="97"/>
      <c r="D193" s="151" t="s">
        <v>132</v>
      </c>
      <c r="E193" s="152">
        <v>1</v>
      </c>
      <c r="F193" s="152">
        <f>SUM(G187:G192)</f>
        <v>0</v>
      </c>
      <c r="G193" s="152">
        <f t="shared" si="23"/>
        <v>0</v>
      </c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2.75" customHeight="1">
      <c r="A194" s="154"/>
      <c r="B194" s="155"/>
      <c r="C194" s="156"/>
      <c r="D194" s="157"/>
      <c r="E194" s="158"/>
      <c r="F194" s="158"/>
      <c r="G194" s="158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30" customHeight="1">
      <c r="A195" s="97" t="str">
        <f>Sintetico!B478</f>
        <v>C016.1</v>
      </c>
      <c r="B195" s="97" t="s">
        <v>106</v>
      </c>
      <c r="C195" s="97" t="s">
        <v>60</v>
      </c>
      <c r="D195" s="103" t="str">
        <f>Sintetico!D478</f>
        <v>RETIRADA DE BALÇÃO DE GRANITO</v>
      </c>
      <c r="E195" s="105"/>
      <c r="F195" s="146"/>
      <c r="G195" s="105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24.75" customHeight="1">
      <c r="A196" s="97"/>
      <c r="B196" s="97"/>
      <c r="C196" s="97" t="s">
        <v>51</v>
      </c>
      <c r="D196" s="103" t="s">
        <v>112</v>
      </c>
      <c r="E196" s="146">
        <v>0.8</v>
      </c>
      <c r="F196" s="146"/>
      <c r="G196" s="105">
        <f t="shared" ref="G196:G197" si="24">F196*E196</f>
        <v>0</v>
      </c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29.25" customHeight="1">
      <c r="A197" s="97"/>
      <c r="B197" s="97"/>
      <c r="C197" s="97"/>
      <c r="D197" s="151" t="s">
        <v>132</v>
      </c>
      <c r="E197" s="152">
        <v>1</v>
      </c>
      <c r="F197" s="152">
        <f>SUM(G196)</f>
        <v>0</v>
      </c>
      <c r="G197" s="152">
        <f t="shared" si="24"/>
        <v>0</v>
      </c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4.25" customHeight="1">
      <c r="A198" s="154"/>
      <c r="B198" s="155"/>
      <c r="C198" s="156"/>
      <c r="D198" s="157"/>
      <c r="E198" s="158"/>
      <c r="F198" s="158"/>
      <c r="G198" s="158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38.25" customHeight="1">
      <c r="A199" s="97" t="s">
        <v>278</v>
      </c>
      <c r="B199" s="144" t="s">
        <v>106</v>
      </c>
      <c r="C199" s="97" t="s">
        <v>125</v>
      </c>
      <c r="D199" s="103" t="s">
        <v>279</v>
      </c>
      <c r="E199" s="105"/>
      <c r="F199" s="146"/>
      <c r="G199" s="105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5" customHeight="1">
      <c r="A200" s="97">
        <v>1</v>
      </c>
      <c r="B200" s="97"/>
      <c r="C200" s="97" t="s">
        <v>51</v>
      </c>
      <c r="D200" s="103" t="s">
        <v>113</v>
      </c>
      <c r="E200" s="146">
        <v>0.16</v>
      </c>
      <c r="F200" s="146"/>
      <c r="G200" s="150">
        <f t="shared" ref="G200:G204" si="25">F200*E200</f>
        <v>0</v>
      </c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5" customHeight="1">
      <c r="A201" s="97">
        <v>2</v>
      </c>
      <c r="B201" s="97"/>
      <c r="C201" s="97" t="s">
        <v>51</v>
      </c>
      <c r="D201" s="103" t="s">
        <v>112</v>
      </c>
      <c r="E201" s="146">
        <v>0.16</v>
      </c>
      <c r="F201" s="146"/>
      <c r="G201" s="150">
        <f t="shared" si="25"/>
        <v>0</v>
      </c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5" customHeight="1">
      <c r="A202" s="97">
        <v>3</v>
      </c>
      <c r="B202" s="97"/>
      <c r="C202" s="97" t="s">
        <v>121</v>
      </c>
      <c r="D202" s="103" t="s">
        <v>168</v>
      </c>
      <c r="E202" s="274">
        <v>0.05</v>
      </c>
      <c r="F202" s="146"/>
      <c r="G202" s="150">
        <f t="shared" si="25"/>
        <v>0</v>
      </c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25.5" customHeight="1">
      <c r="A203" s="97">
        <v>4</v>
      </c>
      <c r="B203" s="97"/>
      <c r="C203" s="97" t="s">
        <v>70</v>
      </c>
      <c r="D203" s="103" t="s">
        <v>280</v>
      </c>
      <c r="E203" s="274">
        <v>1</v>
      </c>
      <c r="F203" s="146"/>
      <c r="G203" s="150">
        <f t="shared" si="25"/>
        <v>0</v>
      </c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25.5" customHeight="1">
      <c r="A204" s="97">
        <v>5</v>
      </c>
      <c r="B204" s="97"/>
      <c r="C204" s="97" t="s">
        <v>70</v>
      </c>
      <c r="D204" s="103" t="s">
        <v>281</v>
      </c>
      <c r="E204" s="274">
        <v>0.27</v>
      </c>
      <c r="F204" s="146"/>
      <c r="G204" s="150">
        <f t="shared" si="25"/>
        <v>0</v>
      </c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2.75" customHeight="1">
      <c r="A205" s="97"/>
      <c r="B205" s="97"/>
      <c r="C205" s="97"/>
      <c r="D205" s="151" t="s">
        <v>132</v>
      </c>
      <c r="E205" s="152">
        <v>1</v>
      </c>
      <c r="F205" s="152">
        <f>SUM(G200:G204)</f>
        <v>0</v>
      </c>
      <c r="G205" s="152">
        <f>ROUND(E205*F205,2)</f>
        <v>0</v>
      </c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2.75" customHeight="1">
      <c r="A206" s="154"/>
      <c r="B206" s="155"/>
      <c r="C206" s="156"/>
      <c r="D206" s="157"/>
      <c r="E206" s="158"/>
      <c r="F206" s="158"/>
      <c r="G206" s="158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2.75" customHeight="1">
      <c r="A207" s="133" t="s">
        <v>282</v>
      </c>
      <c r="B207" s="144" t="s">
        <v>106</v>
      </c>
      <c r="C207" s="133" t="s">
        <v>70</v>
      </c>
      <c r="D207" s="103" t="s">
        <v>283</v>
      </c>
      <c r="E207" s="275"/>
      <c r="F207" s="275"/>
      <c r="G207" s="275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2.75" customHeight="1">
      <c r="A208" s="97">
        <v>1</v>
      </c>
      <c r="B208" s="97"/>
      <c r="C208" s="97" t="s">
        <v>51</v>
      </c>
      <c r="D208" s="103" t="s">
        <v>113</v>
      </c>
      <c r="E208" s="150">
        <v>0.16</v>
      </c>
      <c r="F208" s="150"/>
      <c r="G208" s="150">
        <f t="shared" ref="G208:G211" si="26">F208*E208</f>
        <v>0</v>
      </c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2.75" customHeight="1">
      <c r="A209" s="97">
        <v>2</v>
      </c>
      <c r="B209" s="97"/>
      <c r="C209" s="97" t="s">
        <v>51</v>
      </c>
      <c r="D209" s="103" t="s">
        <v>112</v>
      </c>
      <c r="E209" s="150">
        <v>0.16</v>
      </c>
      <c r="F209" s="150"/>
      <c r="G209" s="150">
        <f t="shared" si="26"/>
        <v>0</v>
      </c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2.75" customHeight="1">
      <c r="A210" s="97">
        <v>3</v>
      </c>
      <c r="B210" s="97"/>
      <c r="C210" s="97" t="s">
        <v>121</v>
      </c>
      <c r="D210" s="103" t="s">
        <v>168</v>
      </c>
      <c r="E210" s="150">
        <v>0.05</v>
      </c>
      <c r="F210" s="150"/>
      <c r="G210" s="150">
        <f t="shared" si="26"/>
        <v>0</v>
      </c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2.75" customHeight="1">
      <c r="A211" s="97">
        <v>4</v>
      </c>
      <c r="B211" s="97"/>
      <c r="C211" s="97" t="s">
        <v>70</v>
      </c>
      <c r="D211" s="103" t="s">
        <v>280</v>
      </c>
      <c r="E211" s="150">
        <v>1</v>
      </c>
      <c r="F211" s="150"/>
      <c r="G211" s="150">
        <f t="shared" si="26"/>
        <v>0</v>
      </c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2.75" customHeight="1">
      <c r="A212" s="97"/>
      <c r="B212" s="97"/>
      <c r="C212" s="97"/>
      <c r="D212" s="151" t="s">
        <v>132</v>
      </c>
      <c r="E212" s="152">
        <v>1</v>
      </c>
      <c r="F212" s="152">
        <f>SUM(G207:G211)</f>
        <v>0</v>
      </c>
      <c r="G212" s="152">
        <f>ROUND(E212*F212,2)</f>
        <v>0</v>
      </c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2.75" customHeight="1">
      <c r="A213" s="154"/>
      <c r="B213" s="155"/>
      <c r="C213" s="156"/>
      <c r="D213" s="157"/>
      <c r="E213" s="278"/>
      <c r="F213" s="278"/>
      <c r="G213" s="278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25.5" customHeight="1">
      <c r="A214" s="97" t="s">
        <v>174</v>
      </c>
      <c r="B214" s="144" t="s">
        <v>106</v>
      </c>
      <c r="C214" s="97" t="s">
        <v>125</v>
      </c>
      <c r="D214" s="103" t="s">
        <v>150</v>
      </c>
      <c r="E214" s="105"/>
      <c r="F214" s="105"/>
      <c r="G214" s="105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7.25" customHeight="1">
      <c r="A215" s="97">
        <v>1</v>
      </c>
      <c r="B215" s="97"/>
      <c r="C215" s="97" t="s">
        <v>51</v>
      </c>
      <c r="D215" s="103" t="s">
        <v>113</v>
      </c>
      <c r="E215" s="105">
        <v>0.55000000000000004</v>
      </c>
      <c r="F215" s="105"/>
      <c r="G215" s="105">
        <f t="shared" ref="G215:G218" si="27">F215*E215</f>
        <v>0</v>
      </c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5" customHeight="1">
      <c r="A216" s="133">
        <v>2</v>
      </c>
      <c r="B216" s="133"/>
      <c r="C216" s="133" t="s">
        <v>125</v>
      </c>
      <c r="D216" s="134" t="s">
        <v>286</v>
      </c>
      <c r="E216" s="136">
        <v>1</v>
      </c>
      <c r="F216" s="281"/>
      <c r="G216" s="136">
        <f t="shared" si="27"/>
        <v>0</v>
      </c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25.5" customHeight="1">
      <c r="A217" s="97">
        <v>3</v>
      </c>
      <c r="B217" s="97"/>
      <c r="C217" s="97" t="s">
        <v>125</v>
      </c>
      <c r="D217" s="103" t="s">
        <v>259</v>
      </c>
      <c r="E217" s="146">
        <v>6</v>
      </c>
      <c r="F217" s="146"/>
      <c r="G217" s="150">
        <f t="shared" si="27"/>
        <v>0</v>
      </c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2.75" customHeight="1">
      <c r="A218" s="97"/>
      <c r="B218" s="97"/>
      <c r="C218" s="97"/>
      <c r="D218" s="151" t="s">
        <v>132</v>
      </c>
      <c r="E218" s="152">
        <v>1</v>
      </c>
      <c r="F218" s="152">
        <f>SUM(G215:G217)</f>
        <v>0</v>
      </c>
      <c r="G218" s="152">
        <f t="shared" si="27"/>
        <v>0</v>
      </c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2.75" customHeight="1">
      <c r="A219" s="154"/>
      <c r="B219" s="155"/>
      <c r="C219" s="156"/>
      <c r="D219" s="157"/>
      <c r="E219" s="158"/>
      <c r="F219" s="158"/>
      <c r="G219" s="158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25.5" customHeight="1">
      <c r="A220" s="133" t="s">
        <v>287</v>
      </c>
      <c r="B220" s="144" t="s">
        <v>106</v>
      </c>
      <c r="C220" s="97" t="s">
        <v>125</v>
      </c>
      <c r="D220" s="103" t="s">
        <v>288</v>
      </c>
      <c r="E220" s="105"/>
      <c r="F220" s="105"/>
      <c r="G220" s="105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25.5" customHeight="1">
      <c r="A221" s="97">
        <v>1</v>
      </c>
      <c r="B221" s="97"/>
      <c r="C221" s="97" t="s">
        <v>60</v>
      </c>
      <c r="D221" s="261" t="s">
        <v>289</v>
      </c>
      <c r="E221" s="105">
        <f>0.9*1.6</f>
        <v>1.4400000000000002</v>
      </c>
      <c r="F221" s="105"/>
      <c r="G221" s="105">
        <f t="shared" ref="G221:G224" si="28">F221*E221</f>
        <v>0</v>
      </c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5" customHeight="1">
      <c r="A222" s="97">
        <v>2</v>
      </c>
      <c r="B222" s="97"/>
      <c r="C222" s="97" t="s">
        <v>125</v>
      </c>
      <c r="D222" s="103" t="s">
        <v>192</v>
      </c>
      <c r="E222" s="146">
        <v>1</v>
      </c>
      <c r="F222" s="146"/>
      <c r="G222" s="105">
        <f t="shared" si="28"/>
        <v>0</v>
      </c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5" customHeight="1">
      <c r="A223" s="97">
        <v>3</v>
      </c>
      <c r="B223" s="124"/>
      <c r="C223" s="97" t="s">
        <v>125</v>
      </c>
      <c r="D223" s="287" t="s">
        <v>291</v>
      </c>
      <c r="E223" s="129">
        <v>1</v>
      </c>
      <c r="F223" s="288"/>
      <c r="G223" s="105">
        <f t="shared" si="28"/>
        <v>0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2.75" customHeight="1">
      <c r="A224" s="97"/>
      <c r="B224" s="97"/>
      <c r="C224" s="97"/>
      <c r="D224" s="151" t="s">
        <v>132</v>
      </c>
      <c r="E224" s="152">
        <v>1</v>
      </c>
      <c r="F224" s="661">
        <f>SUM(G221:G223)</f>
        <v>0</v>
      </c>
      <c r="G224" s="661">
        <f t="shared" si="28"/>
        <v>0</v>
      </c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2.75" customHeight="1">
      <c r="A225" s="154"/>
      <c r="B225" s="155"/>
      <c r="C225" s="156"/>
      <c r="D225" s="157"/>
      <c r="E225" s="158"/>
      <c r="F225" s="158"/>
      <c r="G225" s="158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25.5" customHeight="1">
      <c r="A226" s="97" t="s">
        <v>292</v>
      </c>
      <c r="B226" s="144" t="s">
        <v>106</v>
      </c>
      <c r="C226" s="97" t="s">
        <v>125</v>
      </c>
      <c r="D226" s="103" t="s">
        <v>293</v>
      </c>
      <c r="E226" s="105"/>
      <c r="F226" s="105"/>
      <c r="G226" s="105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38.25" customHeight="1">
      <c r="A227" s="97">
        <v>1</v>
      </c>
      <c r="B227" s="97"/>
      <c r="C227" s="97" t="s">
        <v>125</v>
      </c>
      <c r="D227" s="261" t="s">
        <v>294</v>
      </c>
      <c r="E227" s="105">
        <v>1</v>
      </c>
      <c r="F227" s="105"/>
      <c r="G227" s="105">
        <f t="shared" ref="G227:G235" si="29">F227*E227</f>
        <v>0</v>
      </c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5" customHeight="1">
      <c r="A228" s="97">
        <v>2</v>
      </c>
      <c r="B228" s="97"/>
      <c r="C228" s="97" t="s">
        <v>125</v>
      </c>
      <c r="D228" s="103" t="s">
        <v>192</v>
      </c>
      <c r="E228" s="146">
        <v>1</v>
      </c>
      <c r="F228" s="146"/>
      <c r="G228" s="105">
        <f t="shared" si="29"/>
        <v>0</v>
      </c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45" customHeight="1">
      <c r="A229" s="97">
        <v>3</v>
      </c>
      <c r="B229" s="124"/>
      <c r="C229" s="97" t="s">
        <v>125</v>
      </c>
      <c r="D229" s="261" t="s">
        <v>295</v>
      </c>
      <c r="E229" s="129">
        <v>1</v>
      </c>
      <c r="F229" s="288"/>
      <c r="G229" s="105">
        <f t="shared" si="29"/>
        <v>0</v>
      </c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5" customHeight="1">
      <c r="A230" s="97">
        <v>4</v>
      </c>
      <c r="B230" s="124"/>
      <c r="C230" s="124" t="s">
        <v>60</v>
      </c>
      <c r="D230" s="261" t="s">
        <v>297</v>
      </c>
      <c r="E230" s="129">
        <v>0.05</v>
      </c>
      <c r="F230" s="288"/>
      <c r="G230" s="105">
        <f t="shared" si="29"/>
        <v>0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25.5" customHeight="1">
      <c r="A231" s="124">
        <v>5</v>
      </c>
      <c r="B231" s="97"/>
      <c r="C231" s="124" t="s">
        <v>125</v>
      </c>
      <c r="D231" s="103" t="s">
        <v>152</v>
      </c>
      <c r="E231" s="129">
        <v>8</v>
      </c>
      <c r="F231" s="105"/>
      <c r="G231" s="129">
        <f t="shared" si="29"/>
        <v>0</v>
      </c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</row>
    <row r="232" spans="1:26" ht="12.75" customHeight="1">
      <c r="A232" s="97">
        <v>6</v>
      </c>
      <c r="B232" s="97"/>
      <c r="C232" s="97" t="s">
        <v>121</v>
      </c>
      <c r="D232" s="103" t="str">
        <f>D85</f>
        <v>CHAPA DE ALUMINIO, E = 3 MM, L = 1000 MM - 8,10 KG/M2 (LIGA 1200 - H14)p/ 2 lados</v>
      </c>
      <c r="E232" s="105">
        <v>8.1</v>
      </c>
      <c r="F232" s="105"/>
      <c r="G232" s="105">
        <f t="shared" si="29"/>
        <v>0</v>
      </c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</row>
    <row r="233" spans="1:26" ht="12.75" customHeight="1">
      <c r="A233" s="97">
        <v>7</v>
      </c>
      <c r="B233" s="97"/>
      <c r="C233" s="97" t="s">
        <v>121</v>
      </c>
      <c r="D233" s="103" t="s">
        <v>195</v>
      </c>
      <c r="E233" s="105">
        <v>0.05</v>
      </c>
      <c r="F233" s="105"/>
      <c r="G233" s="105">
        <f t="shared" si="29"/>
        <v>0</v>
      </c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</row>
    <row r="234" spans="1:26" ht="12.75" customHeight="1">
      <c r="A234" s="97">
        <v>8</v>
      </c>
      <c r="B234" s="97"/>
      <c r="C234" s="97" t="s">
        <v>121</v>
      </c>
      <c r="D234" s="103" t="s">
        <v>196</v>
      </c>
      <c r="E234" s="105">
        <v>0.05</v>
      </c>
      <c r="F234" s="105"/>
      <c r="G234" s="105">
        <f t="shared" si="29"/>
        <v>0</v>
      </c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</row>
    <row r="235" spans="1:26" ht="12.75" customHeight="1">
      <c r="A235" s="97"/>
      <c r="B235" s="97"/>
      <c r="C235" s="97"/>
      <c r="D235" s="151" t="s">
        <v>132</v>
      </c>
      <c r="E235" s="152">
        <v>1</v>
      </c>
      <c r="F235" s="152">
        <f>SUM(G227:G234)</f>
        <v>0</v>
      </c>
      <c r="G235" s="152">
        <f t="shared" si="29"/>
        <v>0</v>
      </c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</row>
    <row r="236" spans="1:26" ht="12.75" customHeight="1">
      <c r="A236" s="154"/>
      <c r="B236" s="155"/>
      <c r="C236" s="156"/>
      <c r="D236" s="157"/>
      <c r="E236" s="158"/>
      <c r="F236" s="158"/>
      <c r="G236" s="158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</row>
    <row r="237" spans="1:26" ht="25.5" customHeight="1">
      <c r="A237" s="97" t="s">
        <v>300</v>
      </c>
      <c r="B237" s="144" t="s">
        <v>106</v>
      </c>
      <c r="C237" s="97" t="s">
        <v>125</v>
      </c>
      <c r="D237" s="103" t="s">
        <v>301</v>
      </c>
      <c r="E237" s="105"/>
      <c r="F237" s="105"/>
      <c r="G237" s="105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</row>
    <row r="238" spans="1:26" ht="25.5" customHeight="1">
      <c r="A238" s="97">
        <v>1</v>
      </c>
      <c r="B238" s="97"/>
      <c r="C238" s="97" t="s">
        <v>60</v>
      </c>
      <c r="D238" s="261" t="s">
        <v>289</v>
      </c>
      <c r="E238" s="105">
        <f>0.8*1.6</f>
        <v>1.2800000000000002</v>
      </c>
      <c r="F238" s="105"/>
      <c r="G238" s="105">
        <f t="shared" ref="G238:G241" si="30">F238*E238</f>
        <v>0</v>
      </c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25.5" customHeight="1">
      <c r="A239" s="97">
        <v>2</v>
      </c>
      <c r="B239" s="97"/>
      <c r="C239" s="97" t="s">
        <v>125</v>
      </c>
      <c r="D239" s="103" t="s">
        <v>192</v>
      </c>
      <c r="E239" s="146">
        <v>1</v>
      </c>
      <c r="F239" s="146"/>
      <c r="G239" s="105">
        <f t="shared" si="30"/>
        <v>0</v>
      </c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5" customHeight="1">
      <c r="A240" s="97">
        <v>3</v>
      </c>
      <c r="B240" s="124"/>
      <c r="C240" s="124" t="s">
        <v>125</v>
      </c>
      <c r="D240" s="287" t="s">
        <v>291</v>
      </c>
      <c r="E240" s="129">
        <v>1</v>
      </c>
      <c r="F240" s="288"/>
      <c r="G240" s="105">
        <f t="shared" si="30"/>
        <v>0</v>
      </c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2.75" customHeight="1">
      <c r="A241" s="97"/>
      <c r="B241" s="97"/>
      <c r="C241" s="97"/>
      <c r="D241" s="151" t="s">
        <v>132</v>
      </c>
      <c r="E241" s="152">
        <v>1</v>
      </c>
      <c r="F241" s="152">
        <f>SUM(G238:G240)</f>
        <v>0</v>
      </c>
      <c r="G241" s="152">
        <f t="shared" si="30"/>
        <v>0</v>
      </c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2.75" customHeight="1">
      <c r="A242" s="154"/>
      <c r="B242" s="155"/>
      <c r="C242" s="156"/>
      <c r="D242" s="157"/>
      <c r="E242" s="158"/>
      <c r="F242" s="158"/>
      <c r="G242" s="158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25.5" customHeight="1">
      <c r="A243" s="97" t="s">
        <v>302</v>
      </c>
      <c r="B243" s="144" t="s">
        <v>106</v>
      </c>
      <c r="C243" s="124" t="s">
        <v>125</v>
      </c>
      <c r="D243" s="103" t="s">
        <v>303</v>
      </c>
      <c r="E243" s="105"/>
      <c r="F243" s="105"/>
      <c r="G243" s="105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25.5" customHeight="1">
      <c r="A244" s="97">
        <v>1</v>
      </c>
      <c r="B244" s="97"/>
      <c r="C244" s="97" t="s">
        <v>60</v>
      </c>
      <c r="D244" s="261" t="str">
        <f>D250</f>
        <v xml:space="preserve">PORTA ( folha) EM ALUMÍNIO  TIPO VENEZIANA - FORNECIMENTO E INSTALAÇÃO. AF_08/2015 </v>
      </c>
      <c r="E244" s="105">
        <f>1*2.1</f>
        <v>2.1</v>
      </c>
      <c r="F244" s="105"/>
      <c r="G244" s="105">
        <f t="shared" ref="G244:G248" si="31">F244*E244</f>
        <v>0</v>
      </c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25.5" customHeight="1">
      <c r="A245" s="97">
        <v>2</v>
      </c>
      <c r="B245" s="97"/>
      <c r="C245" s="124" t="s">
        <v>125</v>
      </c>
      <c r="D245" s="103" t="s">
        <v>192</v>
      </c>
      <c r="E245" s="146">
        <v>1</v>
      </c>
      <c r="F245" s="146"/>
      <c r="G245" s="105">
        <f t="shared" si="31"/>
        <v>0</v>
      </c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30" customHeight="1">
      <c r="A246" s="97">
        <v>3</v>
      </c>
      <c r="B246" s="124"/>
      <c r="C246" s="124" t="s">
        <v>125</v>
      </c>
      <c r="D246" s="289" t="s">
        <v>304</v>
      </c>
      <c r="E246" s="129">
        <v>0.35</v>
      </c>
      <c r="F246" s="288"/>
      <c r="G246" s="105">
        <f t="shared" si="31"/>
        <v>0</v>
      </c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30" customHeight="1">
      <c r="A247" s="97">
        <v>4</v>
      </c>
      <c r="B247" s="124"/>
      <c r="C247" s="124" t="s">
        <v>125</v>
      </c>
      <c r="D247" s="289" t="s">
        <v>305</v>
      </c>
      <c r="E247" s="129">
        <v>1</v>
      </c>
      <c r="F247" s="288"/>
      <c r="G247" s="105">
        <f t="shared" si="31"/>
        <v>0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2.75" customHeight="1">
      <c r="A248" s="163"/>
      <c r="B248" s="102"/>
      <c r="C248" s="97"/>
      <c r="D248" s="151" t="s">
        <v>132</v>
      </c>
      <c r="E248" s="152">
        <v>1</v>
      </c>
      <c r="F248" s="152">
        <f>SUM(G244:G247)</f>
        <v>0</v>
      </c>
      <c r="G248" s="152">
        <f t="shared" si="31"/>
        <v>0</v>
      </c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2.75" customHeight="1">
      <c r="A249" s="154"/>
      <c r="B249" s="155"/>
      <c r="C249" s="156"/>
      <c r="D249" s="157"/>
      <c r="E249" s="158"/>
      <c r="F249" s="158"/>
      <c r="G249" s="158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36" customHeight="1">
      <c r="A250" s="133" t="s">
        <v>306</v>
      </c>
      <c r="B250" s="236" t="s">
        <v>106</v>
      </c>
      <c r="C250" s="124" t="s">
        <v>307</v>
      </c>
      <c r="D250" s="289" t="s">
        <v>308</v>
      </c>
      <c r="E250" s="129" t="s">
        <v>309</v>
      </c>
      <c r="F250" s="129"/>
      <c r="G250" s="145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36" customHeight="1">
      <c r="A251" s="133">
        <v>1</v>
      </c>
      <c r="B251" s="124"/>
      <c r="C251" s="124" t="s">
        <v>310</v>
      </c>
      <c r="D251" s="289" t="s">
        <v>311</v>
      </c>
      <c r="E251" s="129">
        <v>0.88290000000000002</v>
      </c>
      <c r="F251" s="129"/>
      <c r="G251" s="136">
        <f t="shared" ref="G251:G256" si="32">F251*E251</f>
        <v>0</v>
      </c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36" customHeight="1">
      <c r="A252" s="133">
        <v>2</v>
      </c>
      <c r="B252" s="124"/>
      <c r="C252" s="124" t="s">
        <v>125</v>
      </c>
      <c r="D252" s="289" t="s">
        <v>312</v>
      </c>
      <c r="E252" s="129">
        <v>4.8166000000000002</v>
      </c>
      <c r="F252" s="129"/>
      <c r="G252" s="136">
        <f t="shared" si="32"/>
        <v>0</v>
      </c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24" customHeight="1">
      <c r="A253" s="133">
        <v>4</v>
      </c>
      <c r="B253" s="124"/>
      <c r="C253" s="124" t="s">
        <v>307</v>
      </c>
      <c r="D253" s="289" t="s">
        <v>313</v>
      </c>
      <c r="E253" s="129">
        <v>1</v>
      </c>
      <c r="F253" s="129"/>
      <c r="G253" s="136">
        <f t="shared" si="32"/>
        <v>0</v>
      </c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" customHeight="1">
      <c r="A254" s="133">
        <v>5</v>
      </c>
      <c r="B254" s="124"/>
      <c r="C254" s="124" t="s">
        <v>51</v>
      </c>
      <c r="D254" s="289" t="s">
        <v>113</v>
      </c>
      <c r="E254" s="129">
        <v>0.3826</v>
      </c>
      <c r="F254" s="129"/>
      <c r="G254" s="136">
        <f t="shared" si="32"/>
        <v>0</v>
      </c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" customHeight="1">
      <c r="A255" s="133">
        <v>6</v>
      </c>
      <c r="B255" s="124"/>
      <c r="C255" s="124" t="s">
        <v>51</v>
      </c>
      <c r="D255" s="289" t="s">
        <v>112</v>
      </c>
      <c r="E255" s="129">
        <v>0.191</v>
      </c>
      <c r="F255" s="129"/>
      <c r="G255" s="136">
        <f t="shared" si="32"/>
        <v>0</v>
      </c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2.75" customHeight="1">
      <c r="A256" s="163"/>
      <c r="B256" s="102"/>
      <c r="C256" s="97"/>
      <c r="D256" s="151" t="s">
        <v>132</v>
      </c>
      <c r="E256" s="152">
        <v>1</v>
      </c>
      <c r="F256" s="152">
        <f>SUM(G251:G255)</f>
        <v>0</v>
      </c>
      <c r="G256" s="152">
        <f t="shared" si="32"/>
        <v>0</v>
      </c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3.5" customHeight="1">
      <c r="A257" s="154"/>
      <c r="B257" s="155"/>
      <c r="C257" s="156"/>
      <c r="D257" s="157"/>
      <c r="E257" s="158"/>
      <c r="F257" s="158"/>
      <c r="G257" s="158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3.5" customHeight="1">
      <c r="A258" s="295" t="s">
        <v>317</v>
      </c>
      <c r="B258" s="144" t="s">
        <v>106</v>
      </c>
      <c r="C258" s="148" t="s">
        <v>125</v>
      </c>
      <c r="D258" s="103" t="s">
        <v>318</v>
      </c>
      <c r="E258" s="296"/>
      <c r="F258" s="296"/>
      <c r="G258" s="296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3.5" customHeight="1">
      <c r="A259" s="295">
        <v>1</v>
      </c>
      <c r="B259" s="148"/>
      <c r="C259" s="148" t="s">
        <v>51</v>
      </c>
      <c r="D259" s="103" t="s">
        <v>113</v>
      </c>
      <c r="E259" s="123">
        <v>0.3826</v>
      </c>
      <c r="F259" s="123"/>
      <c r="G259" s="123">
        <f t="shared" ref="G259:G265" si="33">F259*E259</f>
        <v>0</v>
      </c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3.5" customHeight="1">
      <c r="A260" s="295">
        <v>2</v>
      </c>
      <c r="B260" s="148"/>
      <c r="C260" s="148" t="s">
        <v>51</v>
      </c>
      <c r="D260" s="103" t="s">
        <v>320</v>
      </c>
      <c r="E260" s="123">
        <v>0.19</v>
      </c>
      <c r="F260" s="123"/>
      <c r="G260" s="123">
        <f t="shared" si="33"/>
        <v>0</v>
      </c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3.5" customHeight="1">
      <c r="A261" s="295">
        <v>3</v>
      </c>
      <c r="B261" s="148"/>
      <c r="C261" s="148" t="s">
        <v>310</v>
      </c>
      <c r="D261" s="103" t="s">
        <v>311</v>
      </c>
      <c r="E261" s="123">
        <v>0.88</v>
      </c>
      <c r="F261" s="123"/>
      <c r="G261" s="123">
        <f t="shared" si="33"/>
        <v>0</v>
      </c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3.5" customHeight="1">
      <c r="A262" s="295">
        <v>4</v>
      </c>
      <c r="B262" s="133"/>
      <c r="C262" s="148" t="s">
        <v>125</v>
      </c>
      <c r="D262" s="103" t="s">
        <v>312</v>
      </c>
      <c r="E262" s="123">
        <v>4.82</v>
      </c>
      <c r="F262" s="123"/>
      <c r="G262" s="123">
        <f t="shared" si="33"/>
        <v>0</v>
      </c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3.5" customHeight="1">
      <c r="A263" s="295">
        <v>5</v>
      </c>
      <c r="B263" s="148"/>
      <c r="C263" s="148" t="s">
        <v>70</v>
      </c>
      <c r="D263" s="103" t="s">
        <v>321</v>
      </c>
      <c r="E263" s="123">
        <v>6.85</v>
      </c>
      <c r="F263" s="123"/>
      <c r="G263" s="123">
        <f t="shared" si="33"/>
        <v>0</v>
      </c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3.5" customHeight="1">
      <c r="A264" s="295">
        <v>6</v>
      </c>
      <c r="B264" s="97"/>
      <c r="C264" s="97" t="s">
        <v>125</v>
      </c>
      <c r="D264" s="103" t="s">
        <v>192</v>
      </c>
      <c r="E264" s="298">
        <v>1</v>
      </c>
      <c r="F264" s="298"/>
      <c r="G264" s="105">
        <f t="shared" si="33"/>
        <v>0</v>
      </c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3.5" customHeight="1">
      <c r="A265" s="295">
        <v>7</v>
      </c>
      <c r="B265" s="133"/>
      <c r="C265" s="97" t="s">
        <v>125</v>
      </c>
      <c r="D265" s="299" t="s">
        <v>291</v>
      </c>
      <c r="E265" s="136">
        <v>1</v>
      </c>
      <c r="F265" s="300"/>
      <c r="G265" s="105">
        <f t="shared" si="33"/>
        <v>0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3.5" customHeight="1">
      <c r="A266" s="214"/>
      <c r="B266" s="144"/>
      <c r="C266" s="144"/>
      <c r="D266" s="151" t="s">
        <v>132</v>
      </c>
      <c r="E266" s="302">
        <v>1</v>
      </c>
      <c r="F266" s="303">
        <f>SUM(G259:G265)</f>
        <v>0</v>
      </c>
      <c r="G266" s="304">
        <f>G259+G260+G261+G262+G263+G264+G265</f>
        <v>0</v>
      </c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3.5" customHeight="1">
      <c r="A267" s="155"/>
      <c r="B267" s="155"/>
      <c r="C267" s="155"/>
      <c r="D267" s="155"/>
      <c r="E267" s="155"/>
      <c r="F267" s="155"/>
      <c r="G267" s="155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3.5" customHeight="1">
      <c r="A268" s="295" t="s">
        <v>323</v>
      </c>
      <c r="B268" s="144" t="s">
        <v>106</v>
      </c>
      <c r="C268" s="144"/>
      <c r="D268" s="305" t="s">
        <v>324</v>
      </c>
      <c r="E268" s="305"/>
      <c r="F268" s="305"/>
      <c r="G268" s="305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</row>
    <row r="269" spans="1:26" ht="13.5" customHeight="1">
      <c r="A269" s="97">
        <v>1</v>
      </c>
      <c r="B269" s="97"/>
      <c r="C269" s="97" t="s">
        <v>125</v>
      </c>
      <c r="D269" s="307" t="s">
        <v>325</v>
      </c>
      <c r="E269" s="298">
        <v>1</v>
      </c>
      <c r="F269" s="298"/>
      <c r="G269" s="105">
        <f t="shared" ref="G269:G270" si="34">F269*E269</f>
        <v>0</v>
      </c>
      <c r="H269" s="306"/>
      <c r="I269" s="308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</row>
    <row r="270" spans="1:26" ht="13.5" customHeight="1">
      <c r="A270" s="97">
        <v>2</v>
      </c>
      <c r="B270" s="124"/>
      <c r="C270" s="124" t="s">
        <v>125</v>
      </c>
      <c r="D270" s="287" t="s">
        <v>291</v>
      </c>
      <c r="E270" s="129">
        <v>1</v>
      </c>
      <c r="F270" s="309"/>
      <c r="G270" s="105">
        <f t="shared" si="34"/>
        <v>0</v>
      </c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</row>
    <row r="271" spans="1:26" ht="13.5" customHeight="1">
      <c r="A271" s="214"/>
      <c r="B271" s="144"/>
      <c r="C271" s="144"/>
      <c r="D271" s="151" t="s">
        <v>132</v>
      </c>
      <c r="E271" s="302">
        <v>1</v>
      </c>
      <c r="F271" s="303">
        <f>SUM(G269:G270)</f>
        <v>0</v>
      </c>
      <c r="G271" s="304">
        <f>G269+G270</f>
        <v>0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3.5" customHeight="1">
      <c r="A272" s="155"/>
      <c r="B272" s="155"/>
      <c r="C272" s="155"/>
      <c r="D272" s="155"/>
      <c r="E272" s="155"/>
      <c r="F272" s="155"/>
      <c r="G272" s="155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30.75" customHeight="1">
      <c r="A273" s="214" t="s">
        <v>326</v>
      </c>
      <c r="B273" s="144" t="s">
        <v>106</v>
      </c>
      <c r="C273" s="97" t="s">
        <v>125</v>
      </c>
      <c r="D273" s="103" t="s">
        <v>327</v>
      </c>
      <c r="E273" s="105"/>
      <c r="F273" s="105"/>
      <c r="G273" s="105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33" customHeight="1">
      <c r="A274" s="311">
        <v>1</v>
      </c>
      <c r="B274" s="97"/>
      <c r="C274" s="97" t="s">
        <v>60</v>
      </c>
      <c r="D274" s="261" t="s">
        <v>289</v>
      </c>
      <c r="E274" s="105">
        <f>1*1.6</f>
        <v>1.6</v>
      </c>
      <c r="F274" s="105"/>
      <c r="G274" s="105">
        <f t="shared" ref="G274:G277" si="35">F274*E274</f>
        <v>0</v>
      </c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9.5" customHeight="1">
      <c r="A275" s="311">
        <v>2</v>
      </c>
      <c r="B275" s="97"/>
      <c r="C275" s="97" t="s">
        <v>125</v>
      </c>
      <c r="D275" s="103" t="s">
        <v>192</v>
      </c>
      <c r="E275" s="146">
        <v>1</v>
      </c>
      <c r="F275" s="146"/>
      <c r="G275" s="105">
        <f t="shared" si="35"/>
        <v>0</v>
      </c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3.5" customHeight="1">
      <c r="A276" s="311">
        <v>3</v>
      </c>
      <c r="B276" s="124"/>
      <c r="C276" s="97" t="s">
        <v>125</v>
      </c>
      <c r="D276" s="312" t="s">
        <v>291</v>
      </c>
      <c r="E276" s="129">
        <v>1</v>
      </c>
      <c r="F276" s="288"/>
      <c r="G276" s="105">
        <f t="shared" si="35"/>
        <v>0</v>
      </c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3.5" customHeight="1">
      <c r="A277" s="214"/>
      <c r="B277" s="97"/>
      <c r="C277" s="97"/>
      <c r="D277" s="151" t="s">
        <v>132</v>
      </c>
      <c r="E277" s="152">
        <v>1</v>
      </c>
      <c r="F277" s="146"/>
      <c r="G277" s="146">
        <f t="shared" si="35"/>
        <v>0</v>
      </c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3.5" customHeight="1">
      <c r="A278" s="155"/>
      <c r="B278" s="155"/>
      <c r="C278" s="155"/>
      <c r="D278" s="155"/>
      <c r="E278" s="155"/>
      <c r="F278" s="155"/>
      <c r="G278" s="155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25.5" customHeight="1">
      <c r="A279" s="97" t="s">
        <v>230</v>
      </c>
      <c r="B279" s="144" t="s">
        <v>106</v>
      </c>
      <c r="C279" s="97"/>
      <c r="D279" s="103" t="s">
        <v>328</v>
      </c>
      <c r="E279" s="105"/>
      <c r="F279" s="105"/>
      <c r="G279" s="105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2.75" customHeight="1">
      <c r="A280" s="97">
        <v>1</v>
      </c>
      <c r="B280" s="97"/>
      <c r="C280" s="97" t="s">
        <v>51</v>
      </c>
      <c r="D280" s="103" t="s">
        <v>112</v>
      </c>
      <c r="E280" s="105">
        <v>1</v>
      </c>
      <c r="F280" s="105"/>
      <c r="G280" s="105">
        <f t="shared" ref="G280:G283" si="36">ROUND(E280*F280,2)</f>
        <v>0</v>
      </c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2.75" customHeight="1">
      <c r="A281" s="133">
        <v>2</v>
      </c>
      <c r="B281" s="133"/>
      <c r="C281" s="133" t="s">
        <v>125</v>
      </c>
      <c r="D281" s="134" t="s">
        <v>329</v>
      </c>
      <c r="E281" s="136">
        <v>1</v>
      </c>
      <c r="F281" s="136"/>
      <c r="G281" s="136">
        <f t="shared" si="36"/>
        <v>0</v>
      </c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2.75" customHeight="1">
      <c r="A282" s="97">
        <v>3</v>
      </c>
      <c r="B282" s="97"/>
      <c r="C282" s="97" t="s">
        <v>121</v>
      </c>
      <c r="D282" s="103" t="s">
        <v>196</v>
      </c>
      <c r="E282" s="105">
        <v>0.8</v>
      </c>
      <c r="F282" s="105"/>
      <c r="G282" s="105">
        <f t="shared" si="36"/>
        <v>0</v>
      </c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20.25" customHeight="1">
      <c r="A283" s="191"/>
      <c r="B283" s="148"/>
      <c r="C283" s="148"/>
      <c r="D283" s="151" t="s">
        <v>132</v>
      </c>
      <c r="E283" s="152">
        <v>1</v>
      </c>
      <c r="F283" s="152">
        <f>SUM(G280:G282)</f>
        <v>0</v>
      </c>
      <c r="G283" s="152">
        <f t="shared" si="36"/>
        <v>0</v>
      </c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3.5" customHeight="1">
      <c r="A284" s="154"/>
      <c r="B284" s="155"/>
      <c r="C284" s="156"/>
      <c r="D284" s="157"/>
      <c r="E284" s="278"/>
      <c r="F284" s="278"/>
      <c r="G284" s="278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2.75" customHeight="1">
      <c r="A285" s="97" t="s">
        <v>177</v>
      </c>
      <c r="B285" s="144" t="s">
        <v>106</v>
      </c>
      <c r="C285" s="97"/>
      <c r="D285" s="103" t="s">
        <v>178</v>
      </c>
      <c r="E285" s="105"/>
      <c r="F285" s="105"/>
      <c r="G285" s="105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2.75" customHeight="1">
      <c r="A286" s="97">
        <v>1</v>
      </c>
      <c r="B286" s="97"/>
      <c r="C286" s="97" t="s">
        <v>51</v>
      </c>
      <c r="D286" s="103" t="s">
        <v>112</v>
      </c>
      <c r="E286" s="105">
        <v>0.55000000000000004</v>
      </c>
      <c r="F286" s="105"/>
      <c r="G286" s="105">
        <f t="shared" ref="G286:G289" si="37">ROUND(E286*F286,2)</f>
        <v>0</v>
      </c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25.5" customHeight="1">
      <c r="A287" s="97">
        <v>2</v>
      </c>
      <c r="B287" s="97"/>
      <c r="C287" s="97" t="s">
        <v>125</v>
      </c>
      <c r="D287" s="103" t="s">
        <v>330</v>
      </c>
      <c r="E287" s="105">
        <v>1</v>
      </c>
      <c r="F287" s="105"/>
      <c r="G287" s="105">
        <f t="shared" si="37"/>
        <v>0</v>
      </c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2.75" customHeight="1">
      <c r="A288" s="97">
        <v>3</v>
      </c>
      <c r="B288" s="97"/>
      <c r="C288" s="97" t="s">
        <v>121</v>
      </c>
      <c r="D288" s="103" t="s">
        <v>196</v>
      </c>
      <c r="E288" s="105">
        <v>0.05</v>
      </c>
      <c r="F288" s="105"/>
      <c r="G288" s="105">
        <f t="shared" si="37"/>
        <v>0</v>
      </c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20.25" customHeight="1">
      <c r="A289" s="191"/>
      <c r="B289" s="148"/>
      <c r="C289" s="148"/>
      <c r="D289" s="151" t="s">
        <v>132</v>
      </c>
      <c r="E289" s="152">
        <v>1</v>
      </c>
      <c r="F289" s="152">
        <f>SUM(G286:G288)</f>
        <v>0</v>
      </c>
      <c r="G289" s="152">
        <f t="shared" si="37"/>
        <v>0</v>
      </c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2.75" customHeight="1">
      <c r="A290" s="154"/>
      <c r="B290" s="155"/>
      <c r="C290" s="156"/>
      <c r="D290" s="157"/>
      <c r="E290" s="278"/>
      <c r="F290" s="278"/>
      <c r="G290" s="278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25.5" customHeight="1">
      <c r="A291" s="97" t="s">
        <v>296</v>
      </c>
      <c r="B291" s="144" t="s">
        <v>106</v>
      </c>
      <c r="C291" s="97" t="s">
        <v>70</v>
      </c>
      <c r="D291" s="103" t="s">
        <v>331</v>
      </c>
      <c r="E291" s="105"/>
      <c r="F291" s="105"/>
      <c r="G291" s="105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2.75" customHeight="1">
      <c r="A292" s="97">
        <v>1</v>
      </c>
      <c r="B292" s="97"/>
      <c r="C292" s="97" t="s">
        <v>51</v>
      </c>
      <c r="D292" s="103" t="s">
        <v>112</v>
      </c>
      <c r="E292" s="105">
        <v>0.55000000000000004</v>
      </c>
      <c r="F292" s="105"/>
      <c r="G292" s="105">
        <f t="shared" ref="G292:G299" si="38">ROUND(E292*F292,2)</f>
        <v>0</v>
      </c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2.75" customHeight="1">
      <c r="A293" s="97">
        <v>2</v>
      </c>
      <c r="B293" s="97"/>
      <c r="C293" s="97" t="s">
        <v>51</v>
      </c>
      <c r="D293" s="103" t="s">
        <v>113</v>
      </c>
      <c r="E293" s="105">
        <v>0.55000000000000004</v>
      </c>
      <c r="F293" s="105"/>
      <c r="G293" s="105">
        <f t="shared" si="38"/>
        <v>0</v>
      </c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25.5" customHeight="1">
      <c r="A294" s="97">
        <v>3</v>
      </c>
      <c r="B294" s="97"/>
      <c r="C294" s="97" t="s">
        <v>60</v>
      </c>
      <c r="D294" s="103" t="s">
        <v>332</v>
      </c>
      <c r="E294" s="105">
        <f>2*(0.5*0.46*2)+1*1*0.5</f>
        <v>1.42</v>
      </c>
      <c r="F294" s="105"/>
      <c r="G294" s="105">
        <f t="shared" si="38"/>
        <v>0</v>
      </c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25.5" customHeight="1">
      <c r="A295" s="97">
        <v>4</v>
      </c>
      <c r="B295" s="97"/>
      <c r="C295" s="97" t="s">
        <v>125</v>
      </c>
      <c r="D295" s="103" t="s">
        <v>333</v>
      </c>
      <c r="E295" s="313">
        <f>0.02*E297</f>
        <v>2.3800000000000002E-3</v>
      </c>
      <c r="F295" s="105"/>
      <c r="G295" s="105">
        <f t="shared" si="38"/>
        <v>0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25.5" customHeight="1">
      <c r="A296" s="97">
        <v>5</v>
      </c>
      <c r="B296" s="314"/>
      <c r="C296" s="97" t="s">
        <v>82</v>
      </c>
      <c r="D296" s="103" t="s">
        <v>334</v>
      </c>
      <c r="E296" s="105">
        <f>0.05*(1*1+1*1 +1*1)</f>
        <v>0.15000000000000002</v>
      </c>
      <c r="F296" s="105"/>
      <c r="G296" s="105">
        <f t="shared" si="38"/>
        <v>0</v>
      </c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25.5" customHeight="1">
      <c r="A297" s="97">
        <v>6</v>
      </c>
      <c r="B297" s="314"/>
      <c r="C297" s="97" t="s">
        <v>82</v>
      </c>
      <c r="D297" s="103" t="s">
        <v>335</v>
      </c>
      <c r="E297" s="105">
        <f>3*(0.5*0.46*0.1)+1*(0.1*1*0.5)</f>
        <v>0.11900000000000001</v>
      </c>
      <c r="F297" s="105"/>
      <c r="G297" s="105">
        <f t="shared" si="38"/>
        <v>0</v>
      </c>
      <c r="H297" s="140"/>
      <c r="I297" s="140"/>
      <c r="J297" s="317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25.5" customHeight="1">
      <c r="A298" s="97">
        <v>7</v>
      </c>
      <c r="B298" s="97"/>
      <c r="C298" s="97" t="s">
        <v>82</v>
      </c>
      <c r="D298" s="103" t="s">
        <v>338</v>
      </c>
      <c r="E298" s="313">
        <f>E294*0.005</f>
        <v>7.0999999999999995E-3</v>
      </c>
      <c r="F298" s="105"/>
      <c r="G298" s="105">
        <f t="shared" si="38"/>
        <v>0</v>
      </c>
      <c r="H298" s="140"/>
      <c r="I298" s="140"/>
      <c r="J298" s="319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2.75" customHeight="1">
      <c r="A299" s="97">
        <v>8</v>
      </c>
      <c r="B299" s="97"/>
      <c r="C299" s="97" t="s">
        <v>60</v>
      </c>
      <c r="D299" s="103" t="s">
        <v>339</v>
      </c>
      <c r="E299" s="105">
        <v>0.49</v>
      </c>
      <c r="F299" s="105"/>
      <c r="G299" s="105">
        <f t="shared" si="38"/>
        <v>0</v>
      </c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20.25" customHeight="1">
      <c r="A300" s="124"/>
      <c r="B300" s="148"/>
      <c r="C300" s="148"/>
      <c r="D300" s="151" t="s">
        <v>132</v>
      </c>
      <c r="E300" s="152">
        <v>1</v>
      </c>
      <c r="F300" s="152">
        <f>SUM(G292:G299)</f>
        <v>0</v>
      </c>
      <c r="G300" s="152">
        <f>G292+G293+G294+G295+G296+G297+G298+G299</f>
        <v>0</v>
      </c>
      <c r="H300" s="140"/>
      <c r="I300" s="140"/>
      <c r="J300" s="321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6.5" customHeight="1">
      <c r="A301" s="154"/>
      <c r="B301" s="155"/>
      <c r="C301" s="156"/>
      <c r="D301" s="157"/>
      <c r="E301" s="158"/>
      <c r="F301" s="158"/>
      <c r="G301" s="158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25.5" customHeight="1">
      <c r="A302" s="97" t="s">
        <v>340</v>
      </c>
      <c r="B302" s="144" t="s">
        <v>106</v>
      </c>
      <c r="C302" s="97" t="s">
        <v>70</v>
      </c>
      <c r="D302" s="103" t="s">
        <v>341</v>
      </c>
      <c r="E302" s="105"/>
      <c r="F302" s="105"/>
      <c r="G302" s="105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25.5" customHeight="1">
      <c r="A303" s="97"/>
      <c r="B303" s="97"/>
      <c r="C303" s="97" t="s">
        <v>51</v>
      </c>
      <c r="D303" s="103" t="s">
        <v>112</v>
      </c>
      <c r="E303" s="105">
        <v>0.55000000000000004</v>
      </c>
      <c r="F303" s="105"/>
      <c r="G303" s="105">
        <f t="shared" ref="G303:G307" si="39">ROUND(E303*F303,2)</f>
        <v>0</v>
      </c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25.5" customHeight="1">
      <c r="A304" s="97"/>
      <c r="B304" s="97"/>
      <c r="C304" s="97" t="s">
        <v>51</v>
      </c>
      <c r="D304" s="103" t="s">
        <v>113</v>
      </c>
      <c r="E304" s="105">
        <v>0.55000000000000004</v>
      </c>
      <c r="F304" s="105"/>
      <c r="G304" s="105">
        <f t="shared" si="39"/>
        <v>0</v>
      </c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25.5" customHeight="1">
      <c r="A305" s="97"/>
      <c r="B305" s="97"/>
      <c r="C305" s="97" t="s">
        <v>60</v>
      </c>
      <c r="D305" s="103" t="s">
        <v>332</v>
      </c>
      <c r="E305" s="105">
        <f>(0.5*0.46*2+0.5*0.36*2+0.5*0.46*1+0.1*0.46*2+0.1*1)</f>
        <v>1.2420000000000002</v>
      </c>
      <c r="F305" s="105"/>
      <c r="G305" s="105">
        <f t="shared" si="39"/>
        <v>0</v>
      </c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25.5" customHeight="1">
      <c r="A306" s="97"/>
      <c r="B306" s="97"/>
      <c r="C306" s="97" t="s">
        <v>125</v>
      </c>
      <c r="D306" s="103" t="s">
        <v>333</v>
      </c>
      <c r="E306" s="313">
        <f>0.02*E307</f>
        <v>1.7200000000000004E-3</v>
      </c>
      <c r="F306" s="105"/>
      <c r="G306" s="105">
        <f t="shared" si="39"/>
        <v>0</v>
      </c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25.5" customHeight="1">
      <c r="A307" s="97"/>
      <c r="B307" s="314"/>
      <c r="C307" s="97" t="s">
        <v>82</v>
      </c>
      <c r="D307" s="103" t="s">
        <v>335</v>
      </c>
      <c r="E307" s="105">
        <f>0.46*0.5*0.1*2+0.8*0.5*0.1</f>
        <v>8.6000000000000021E-2</v>
      </c>
      <c r="F307" s="105"/>
      <c r="G307" s="105">
        <f t="shared" si="39"/>
        <v>0</v>
      </c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25.5" customHeight="1">
      <c r="A308" s="97"/>
      <c r="B308" s="97"/>
      <c r="C308" s="97" t="s">
        <v>82</v>
      </c>
      <c r="D308" s="103" t="s">
        <v>338</v>
      </c>
      <c r="E308" s="313">
        <f>E305*0.005</f>
        <v>6.2100000000000011E-3</v>
      </c>
      <c r="F308" s="105"/>
      <c r="G308" s="105">
        <f t="shared" ref="G308:G309" si="40">ROUND(E308*F308,2)</f>
        <v>0</v>
      </c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25.5" customHeight="1">
      <c r="A309" s="97"/>
      <c r="B309" s="133"/>
      <c r="C309" s="97" t="s">
        <v>60</v>
      </c>
      <c r="D309" s="103" t="s">
        <v>344</v>
      </c>
      <c r="E309" s="105">
        <v>1</v>
      </c>
      <c r="F309" s="105"/>
      <c r="G309" s="105">
        <f t="shared" si="40"/>
        <v>0</v>
      </c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25.5" customHeight="1">
      <c r="A310" s="97"/>
      <c r="B310" s="148"/>
      <c r="C310" s="148"/>
      <c r="D310" s="151" t="s">
        <v>132</v>
      </c>
      <c r="E310" s="152">
        <v>1</v>
      </c>
      <c r="F310" s="152">
        <f>SUM(G303:G309)</f>
        <v>0</v>
      </c>
      <c r="G310" s="152">
        <f>G303+G304+G305+G306+G307+G308+G309</f>
        <v>0</v>
      </c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25.5" customHeight="1">
      <c r="A311" s="97" t="s">
        <v>237</v>
      </c>
      <c r="B311" s="144" t="s">
        <v>106</v>
      </c>
      <c r="C311" s="97" t="s">
        <v>125</v>
      </c>
      <c r="D311" s="103" t="s">
        <v>348</v>
      </c>
      <c r="E311" s="105"/>
      <c r="F311" s="105"/>
      <c r="G311" s="105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2.75" customHeight="1">
      <c r="A312" s="97">
        <v>1</v>
      </c>
      <c r="B312" s="97"/>
      <c r="C312" s="97" t="s">
        <v>51</v>
      </c>
      <c r="D312" s="103" t="s">
        <v>113</v>
      </c>
      <c r="E312" s="105">
        <v>0.55000000000000004</v>
      </c>
      <c r="F312" s="105"/>
      <c r="G312" s="105">
        <f t="shared" ref="G312:G317" si="41">ROUND(E312*F312,2)</f>
        <v>0</v>
      </c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2.75" customHeight="1">
      <c r="A313" s="97">
        <v>2</v>
      </c>
      <c r="B313" s="97"/>
      <c r="C313" s="97" t="s">
        <v>51</v>
      </c>
      <c r="D313" s="103" t="s">
        <v>175</v>
      </c>
      <c r="E313" s="105">
        <v>0.55000000000000004</v>
      </c>
      <c r="F313" s="105"/>
      <c r="G313" s="105">
        <f t="shared" si="41"/>
        <v>0</v>
      </c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7.25" customHeight="1">
      <c r="A314" s="97">
        <v>3</v>
      </c>
      <c r="B314" s="97"/>
      <c r="C314" s="97" t="s">
        <v>51</v>
      </c>
      <c r="D314" s="103" t="s">
        <v>112</v>
      </c>
      <c r="E314" s="105">
        <v>0.55000000000000004</v>
      </c>
      <c r="F314" s="105"/>
      <c r="G314" s="105">
        <f t="shared" si="41"/>
        <v>0</v>
      </c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7.25" customHeight="1">
      <c r="A315" s="97">
        <v>4</v>
      </c>
      <c r="B315" s="97"/>
      <c r="C315" s="97" t="s">
        <v>121</v>
      </c>
      <c r="D315" s="103" t="s">
        <v>350</v>
      </c>
      <c r="E315" s="105">
        <v>0.05</v>
      </c>
      <c r="F315" s="105"/>
      <c r="G315" s="105">
        <f t="shared" si="41"/>
        <v>0</v>
      </c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25.5" customHeight="1">
      <c r="A316" s="97">
        <v>5</v>
      </c>
      <c r="B316" s="97"/>
      <c r="C316" s="97" t="s">
        <v>125</v>
      </c>
      <c r="D316" s="103" t="s">
        <v>312</v>
      </c>
      <c r="E316" s="105">
        <v>0.05</v>
      </c>
      <c r="F316" s="105"/>
      <c r="G316" s="105">
        <f t="shared" si="41"/>
        <v>0</v>
      </c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20.25" customHeight="1">
      <c r="A317" s="191"/>
      <c r="B317" s="148"/>
      <c r="C317" s="148"/>
      <c r="D317" s="151" t="s">
        <v>132</v>
      </c>
      <c r="E317" s="152">
        <v>1</v>
      </c>
      <c r="F317" s="152">
        <f>SUM(G312:G316)</f>
        <v>0</v>
      </c>
      <c r="G317" s="152">
        <f t="shared" si="41"/>
        <v>0</v>
      </c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2.75" customHeight="1">
      <c r="A318" s="154"/>
      <c r="B318" s="155"/>
      <c r="C318" s="156"/>
      <c r="D318" s="157"/>
      <c r="E318" s="158"/>
      <c r="F318" s="158"/>
      <c r="G318" s="158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2.75" customHeight="1">
      <c r="A319" s="97" t="s">
        <v>246</v>
      </c>
      <c r="B319" s="144" t="s">
        <v>106</v>
      </c>
      <c r="C319" s="97" t="s">
        <v>125</v>
      </c>
      <c r="D319" s="103" t="s">
        <v>353</v>
      </c>
      <c r="E319" s="105"/>
      <c r="F319" s="105"/>
      <c r="G319" s="105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2.75" customHeight="1">
      <c r="A320" s="97">
        <v>1</v>
      </c>
      <c r="B320" s="97"/>
      <c r="C320" s="97" t="s">
        <v>51</v>
      </c>
      <c r="D320" s="103" t="s">
        <v>113</v>
      </c>
      <c r="E320" s="105">
        <v>0.99</v>
      </c>
      <c r="F320" s="105"/>
      <c r="G320" s="105">
        <f t="shared" ref="G320:G327" si="42">ROUND(E320*F320,2)</f>
        <v>0</v>
      </c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2.75" customHeight="1">
      <c r="A321" s="97">
        <v>2</v>
      </c>
      <c r="B321" s="97"/>
      <c r="C321" s="97" t="s">
        <v>51</v>
      </c>
      <c r="D321" s="103" t="s">
        <v>175</v>
      </c>
      <c r="E321" s="105">
        <v>0.99</v>
      </c>
      <c r="F321" s="105"/>
      <c r="G321" s="105">
        <f t="shared" si="42"/>
        <v>0</v>
      </c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7.25" customHeight="1">
      <c r="A322" s="97">
        <v>3</v>
      </c>
      <c r="B322" s="97"/>
      <c r="C322" s="97" t="s">
        <v>51</v>
      </c>
      <c r="D322" s="103" t="s">
        <v>112</v>
      </c>
      <c r="E322" s="105">
        <v>0.99</v>
      </c>
      <c r="F322" s="105"/>
      <c r="G322" s="105">
        <f t="shared" si="42"/>
        <v>0</v>
      </c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7.25" customHeight="1">
      <c r="A323" s="97">
        <v>4</v>
      </c>
      <c r="B323" s="97"/>
      <c r="C323" s="97" t="s">
        <v>121</v>
      </c>
      <c r="D323" s="103" t="s">
        <v>258</v>
      </c>
      <c r="E323" s="298">
        <v>0.2</v>
      </c>
      <c r="F323" s="298"/>
      <c r="G323" s="105">
        <f t="shared" si="42"/>
        <v>0</v>
      </c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2.75" customHeight="1">
      <c r="A324" s="97">
        <v>5</v>
      </c>
      <c r="B324" s="97"/>
      <c r="C324" s="97" t="s">
        <v>125</v>
      </c>
      <c r="D324" s="103" t="s">
        <v>354</v>
      </c>
      <c r="E324" s="105">
        <v>1</v>
      </c>
      <c r="F324" s="105"/>
      <c r="G324" s="105">
        <f t="shared" si="42"/>
        <v>0</v>
      </c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2.75" customHeight="1">
      <c r="A325" s="97">
        <v>6</v>
      </c>
      <c r="B325" s="97"/>
      <c r="C325" s="97" t="s">
        <v>125</v>
      </c>
      <c r="D325" s="103" t="s">
        <v>356</v>
      </c>
      <c r="E325" s="105">
        <v>1</v>
      </c>
      <c r="F325" s="105"/>
      <c r="G325" s="105">
        <f t="shared" si="42"/>
        <v>0</v>
      </c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25.5" customHeight="1">
      <c r="A326" s="97">
        <v>7</v>
      </c>
      <c r="B326" s="97"/>
      <c r="C326" s="97" t="s">
        <v>125</v>
      </c>
      <c r="D326" s="103" t="s">
        <v>312</v>
      </c>
      <c r="E326" s="105">
        <v>2</v>
      </c>
      <c r="F326" s="105"/>
      <c r="G326" s="105">
        <f t="shared" si="42"/>
        <v>0</v>
      </c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20.25" customHeight="1">
      <c r="A327" s="191"/>
      <c r="B327" s="148"/>
      <c r="C327" s="148"/>
      <c r="D327" s="151" t="s">
        <v>132</v>
      </c>
      <c r="E327" s="152">
        <v>1</v>
      </c>
      <c r="F327" s="152">
        <f>SUM(G320:G326)</f>
        <v>0</v>
      </c>
      <c r="G327" s="152">
        <f t="shared" si="42"/>
        <v>0</v>
      </c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2.75" customHeight="1">
      <c r="A328" s="154"/>
      <c r="B328" s="155"/>
      <c r="C328" s="156"/>
      <c r="D328" s="157"/>
      <c r="E328" s="158"/>
      <c r="F328" s="158"/>
      <c r="G328" s="158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2.75" customHeight="1">
      <c r="A329" s="97" t="s">
        <v>99</v>
      </c>
      <c r="B329" s="144" t="s">
        <v>106</v>
      </c>
      <c r="C329" s="97" t="s">
        <v>125</v>
      </c>
      <c r="D329" s="103" t="s">
        <v>358</v>
      </c>
      <c r="E329" s="105"/>
      <c r="F329" s="105"/>
      <c r="G329" s="105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2.75" customHeight="1">
      <c r="A330" s="97">
        <v>1</v>
      </c>
      <c r="B330" s="97"/>
      <c r="C330" s="97" t="s">
        <v>51</v>
      </c>
      <c r="D330" s="103" t="s">
        <v>113</v>
      </c>
      <c r="E330" s="105">
        <v>0.55000000000000004</v>
      </c>
      <c r="F330" s="105"/>
      <c r="G330" s="105">
        <f t="shared" ref="G330:G335" si="43">ROUND(E330*F330,2)</f>
        <v>0</v>
      </c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2.75" customHeight="1">
      <c r="A331" s="97">
        <v>2</v>
      </c>
      <c r="B331" s="97"/>
      <c r="C331" s="97" t="s">
        <v>51</v>
      </c>
      <c r="D331" s="103" t="s">
        <v>112</v>
      </c>
      <c r="E331" s="105">
        <v>0.55000000000000004</v>
      </c>
      <c r="F331" s="105"/>
      <c r="G331" s="105">
        <f t="shared" si="43"/>
        <v>0</v>
      </c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30.75" customHeight="1">
      <c r="A332" s="97">
        <v>3</v>
      </c>
      <c r="B332" s="97"/>
      <c r="C332" s="97" t="s">
        <v>60</v>
      </c>
      <c r="D332" s="103" t="s">
        <v>359</v>
      </c>
      <c r="E332" s="105">
        <v>0.3</v>
      </c>
      <c r="F332" s="105"/>
      <c r="G332" s="105">
        <f t="shared" si="43"/>
        <v>0</v>
      </c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2.75" customHeight="1">
      <c r="A333" s="97">
        <v>4</v>
      </c>
      <c r="B333" s="97"/>
      <c r="C333" s="97" t="s">
        <v>125</v>
      </c>
      <c r="D333" s="163" t="s">
        <v>360</v>
      </c>
      <c r="E333" s="105">
        <v>0.43</v>
      </c>
      <c r="F333" s="105"/>
      <c r="G333" s="105">
        <f t="shared" si="43"/>
        <v>0</v>
      </c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25.5" customHeight="1">
      <c r="A334" s="97">
        <v>5</v>
      </c>
      <c r="B334" s="97"/>
      <c r="C334" s="97" t="s">
        <v>82</v>
      </c>
      <c r="D334" s="103" t="s">
        <v>117</v>
      </c>
      <c r="E334" s="105">
        <v>0.05</v>
      </c>
      <c r="F334" s="105"/>
      <c r="G334" s="105">
        <f t="shared" si="43"/>
        <v>0</v>
      </c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20.25" customHeight="1">
      <c r="A335" s="191"/>
      <c r="B335" s="148"/>
      <c r="C335" s="148"/>
      <c r="D335" s="151" t="s">
        <v>132</v>
      </c>
      <c r="E335" s="152">
        <v>1</v>
      </c>
      <c r="F335" s="152">
        <f>SUM(G330:G334)</f>
        <v>0</v>
      </c>
      <c r="G335" s="152">
        <f t="shared" si="43"/>
        <v>0</v>
      </c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2.75" customHeight="1">
      <c r="A336" s="154"/>
      <c r="B336" s="155"/>
      <c r="C336" s="156"/>
      <c r="D336" s="157"/>
      <c r="E336" s="158"/>
      <c r="F336" s="158"/>
      <c r="G336" s="158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2.75" customHeight="1">
      <c r="A337" s="97" t="s">
        <v>362</v>
      </c>
      <c r="B337" s="144" t="s">
        <v>106</v>
      </c>
      <c r="C337" s="97" t="s">
        <v>125</v>
      </c>
      <c r="D337" s="103" t="s">
        <v>363</v>
      </c>
      <c r="E337" s="105"/>
      <c r="F337" s="105"/>
      <c r="G337" s="105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2.75" customHeight="1">
      <c r="A338" s="97">
        <v>1</v>
      </c>
      <c r="B338" s="97"/>
      <c r="C338" s="97" t="s">
        <v>51</v>
      </c>
      <c r="D338" s="103" t="s">
        <v>175</v>
      </c>
      <c r="E338" s="105">
        <v>0.55000000000000004</v>
      </c>
      <c r="F338" s="105"/>
      <c r="G338" s="105">
        <f t="shared" ref="G338:G343" si="44">ROUND(E338*F338,2)</f>
        <v>0</v>
      </c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2.75" customHeight="1">
      <c r="A339" s="97">
        <v>2</v>
      </c>
      <c r="B339" s="97"/>
      <c r="C339" s="97" t="s">
        <v>51</v>
      </c>
      <c r="D339" s="103" t="s">
        <v>112</v>
      </c>
      <c r="E339" s="105">
        <v>0.55000000000000004</v>
      </c>
      <c r="F339" s="105"/>
      <c r="G339" s="105">
        <f t="shared" si="44"/>
        <v>0</v>
      </c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2.75" customHeight="1">
      <c r="A340" s="97">
        <v>3</v>
      </c>
      <c r="B340" s="97"/>
      <c r="C340" s="97" t="s">
        <v>125</v>
      </c>
      <c r="D340" s="103" t="s">
        <v>176</v>
      </c>
      <c r="E340" s="105">
        <v>0.05</v>
      </c>
      <c r="F340" s="105"/>
      <c r="G340" s="105">
        <f t="shared" si="44"/>
        <v>0</v>
      </c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2.75" customHeight="1">
      <c r="A341" s="97">
        <v>4</v>
      </c>
      <c r="B341" s="97"/>
      <c r="C341" s="97" t="s">
        <v>125</v>
      </c>
      <c r="D341" s="103" t="s">
        <v>369</v>
      </c>
      <c r="E341" s="105">
        <v>1</v>
      </c>
      <c r="F341" s="105"/>
      <c r="G341" s="105">
        <f t="shared" si="44"/>
        <v>0</v>
      </c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" customHeight="1">
      <c r="A342" s="133">
        <v>5</v>
      </c>
      <c r="B342" s="133"/>
      <c r="C342" s="133" t="s">
        <v>125</v>
      </c>
      <c r="D342" s="134" t="s">
        <v>370</v>
      </c>
      <c r="E342" s="136">
        <v>1</v>
      </c>
      <c r="F342" s="300"/>
      <c r="G342" s="136">
        <f t="shared" si="44"/>
        <v>0</v>
      </c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20.25" customHeight="1">
      <c r="A343" s="191"/>
      <c r="B343" s="148"/>
      <c r="C343" s="148"/>
      <c r="D343" s="151" t="s">
        <v>132</v>
      </c>
      <c r="E343" s="152">
        <v>1</v>
      </c>
      <c r="F343" s="152">
        <f>SUM(G338:G342)</f>
        <v>0</v>
      </c>
      <c r="G343" s="152">
        <f t="shared" si="44"/>
        <v>0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2.75" customHeight="1">
      <c r="A344" s="154"/>
      <c r="B344" s="155"/>
      <c r="C344" s="156"/>
      <c r="D344" s="157"/>
      <c r="E344" s="158"/>
      <c r="F344" s="158"/>
      <c r="G344" s="158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25.5" customHeight="1">
      <c r="A345" s="97" t="s">
        <v>374</v>
      </c>
      <c r="B345" s="144" t="s">
        <v>106</v>
      </c>
      <c r="C345" s="97" t="s">
        <v>125</v>
      </c>
      <c r="D345" s="103" t="s">
        <v>375</v>
      </c>
      <c r="E345" s="105"/>
      <c r="F345" s="105"/>
      <c r="G345" s="105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" customHeight="1">
      <c r="A346" s="97">
        <v>1</v>
      </c>
      <c r="B346" s="97"/>
      <c r="C346" s="97" t="s">
        <v>51</v>
      </c>
      <c r="D346" s="103" t="s">
        <v>377</v>
      </c>
      <c r="E346" s="298">
        <v>0.3</v>
      </c>
      <c r="F346" s="298"/>
      <c r="G346" s="105">
        <f t="shared" ref="G346:G351" si="45">F346*E346</f>
        <v>0</v>
      </c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" customHeight="1">
      <c r="A347" s="97">
        <v>2</v>
      </c>
      <c r="B347" s="97"/>
      <c r="C347" s="97" t="s">
        <v>51</v>
      </c>
      <c r="D347" s="103" t="s">
        <v>112</v>
      </c>
      <c r="E347" s="298">
        <v>0.3</v>
      </c>
      <c r="F347" s="298"/>
      <c r="G347" s="105">
        <f t="shared" si="45"/>
        <v>0</v>
      </c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" customHeight="1">
      <c r="A348" s="97">
        <v>3</v>
      </c>
      <c r="B348" s="97"/>
      <c r="C348" s="97" t="s">
        <v>125</v>
      </c>
      <c r="D348" s="103" t="s">
        <v>380</v>
      </c>
      <c r="E348" s="298">
        <v>0.05</v>
      </c>
      <c r="F348" s="298"/>
      <c r="G348" s="105">
        <f t="shared" si="45"/>
        <v>0</v>
      </c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" customHeight="1">
      <c r="A349" s="97">
        <v>4</v>
      </c>
      <c r="B349" s="97"/>
      <c r="C349" s="97" t="s">
        <v>125</v>
      </c>
      <c r="D349" s="103" t="s">
        <v>381</v>
      </c>
      <c r="E349" s="298">
        <v>1</v>
      </c>
      <c r="F349" s="298"/>
      <c r="G349" s="105">
        <f t="shared" si="45"/>
        <v>0</v>
      </c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25.5" customHeight="1">
      <c r="A350" s="97">
        <v>5</v>
      </c>
      <c r="B350" s="97"/>
      <c r="C350" s="97" t="s">
        <v>125</v>
      </c>
      <c r="D350" s="103" t="s">
        <v>384</v>
      </c>
      <c r="E350" s="298">
        <v>1</v>
      </c>
      <c r="F350" s="298"/>
      <c r="G350" s="105">
        <f t="shared" si="45"/>
        <v>0</v>
      </c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2.75" customHeight="1">
      <c r="A351" s="97"/>
      <c r="B351" s="97"/>
      <c r="C351" s="97"/>
      <c r="D351" s="151" t="s">
        <v>132</v>
      </c>
      <c r="E351" s="152">
        <v>1</v>
      </c>
      <c r="F351" s="152">
        <f>SUM(G346:G350)</f>
        <v>0</v>
      </c>
      <c r="G351" s="152">
        <f t="shared" si="45"/>
        <v>0</v>
      </c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2.75" customHeight="1">
      <c r="A352" s="154"/>
      <c r="B352" s="155"/>
      <c r="C352" s="156"/>
      <c r="D352" s="157"/>
      <c r="E352" s="158"/>
      <c r="F352" s="158"/>
      <c r="G352" s="158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38.25" customHeight="1">
      <c r="A353" s="97" t="s">
        <v>386</v>
      </c>
      <c r="B353" s="144" t="s">
        <v>106</v>
      </c>
      <c r="C353" s="97" t="s">
        <v>125</v>
      </c>
      <c r="D353" s="103" t="s">
        <v>387</v>
      </c>
      <c r="E353" s="105"/>
      <c r="F353" s="105"/>
      <c r="G353" s="105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2.75" customHeight="1">
      <c r="A354" s="97">
        <v>1</v>
      </c>
      <c r="B354" s="97"/>
      <c r="C354" s="97" t="s">
        <v>51</v>
      </c>
      <c r="D354" s="103" t="s">
        <v>175</v>
      </c>
      <c r="E354" s="105">
        <v>1</v>
      </c>
      <c r="F354" s="105"/>
      <c r="G354" s="105">
        <f>ROUND(E354*F354,2)</f>
        <v>0</v>
      </c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" customHeight="1">
      <c r="A355" s="97">
        <v>2</v>
      </c>
      <c r="B355" s="97"/>
      <c r="C355" s="97" t="s">
        <v>51</v>
      </c>
      <c r="D355" s="103" t="s">
        <v>113</v>
      </c>
      <c r="E355" s="298">
        <v>0.55000000000000004</v>
      </c>
      <c r="F355" s="298"/>
      <c r="G355" s="348">
        <f t="shared" ref="G355:G359" si="46">F355*E355</f>
        <v>0</v>
      </c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2.75" customHeight="1">
      <c r="A356" s="97">
        <v>3</v>
      </c>
      <c r="B356" s="97"/>
      <c r="C356" s="97" t="s">
        <v>51</v>
      </c>
      <c r="D356" s="103" t="s">
        <v>112</v>
      </c>
      <c r="E356" s="105">
        <v>0.7</v>
      </c>
      <c r="F356" s="105"/>
      <c r="G356" s="105">
        <f t="shared" si="46"/>
        <v>0</v>
      </c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" customHeight="1">
      <c r="A357" s="97">
        <v>4</v>
      </c>
      <c r="B357" s="97"/>
      <c r="C357" s="97" t="s">
        <v>121</v>
      </c>
      <c r="D357" s="103" t="s">
        <v>258</v>
      </c>
      <c r="E357" s="298">
        <v>0.05</v>
      </c>
      <c r="F357" s="298"/>
      <c r="G357" s="105">
        <f t="shared" si="46"/>
        <v>0</v>
      </c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2.75" customHeight="1">
      <c r="A358" s="97">
        <v>5</v>
      </c>
      <c r="B358" s="97"/>
      <c r="C358" s="97" t="s">
        <v>125</v>
      </c>
      <c r="D358" s="103" t="s">
        <v>356</v>
      </c>
      <c r="E358" s="105">
        <v>1</v>
      </c>
      <c r="F358" s="105"/>
      <c r="G358" s="105">
        <f t="shared" si="46"/>
        <v>0</v>
      </c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25.5" customHeight="1">
      <c r="A359" s="97">
        <v>6</v>
      </c>
      <c r="B359" s="97"/>
      <c r="C359" s="97" t="s">
        <v>121</v>
      </c>
      <c r="D359" s="103" t="s">
        <v>187</v>
      </c>
      <c r="E359" s="105">
        <v>0.05</v>
      </c>
      <c r="F359" s="105"/>
      <c r="G359" s="105">
        <f t="shared" si="46"/>
        <v>0</v>
      </c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2.75" customHeight="1">
      <c r="A360" s="97"/>
      <c r="B360" s="97"/>
      <c r="C360" s="97"/>
      <c r="D360" s="151" t="s">
        <v>132</v>
      </c>
      <c r="E360" s="152">
        <v>1</v>
      </c>
      <c r="F360" s="152">
        <f>SUM(G354:G359)</f>
        <v>0</v>
      </c>
      <c r="G360" s="152">
        <f>ROUND(E360*F360,2)</f>
        <v>0</v>
      </c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2.75" customHeight="1">
      <c r="A361" s="154"/>
      <c r="B361" s="155"/>
      <c r="C361" s="156"/>
      <c r="D361" s="157"/>
      <c r="E361" s="158"/>
      <c r="F361" s="158"/>
      <c r="G361" s="158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" customHeight="1">
      <c r="A362" s="97" t="s">
        <v>390</v>
      </c>
      <c r="B362" s="144" t="s">
        <v>106</v>
      </c>
      <c r="C362" s="97" t="s">
        <v>125</v>
      </c>
      <c r="D362" s="103" t="s">
        <v>391</v>
      </c>
      <c r="E362" s="298"/>
      <c r="F362" s="298"/>
      <c r="G362" s="348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" customHeight="1">
      <c r="A363" s="97">
        <v>1</v>
      </c>
      <c r="B363" s="97"/>
      <c r="C363" s="97" t="s">
        <v>51</v>
      </c>
      <c r="D363" s="103" t="s">
        <v>113</v>
      </c>
      <c r="E363" s="298">
        <v>0.25</v>
      </c>
      <c r="F363" s="298"/>
      <c r="G363" s="348">
        <f t="shared" ref="G363:G366" si="47">F363*E363</f>
        <v>0</v>
      </c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" customHeight="1">
      <c r="A364" s="97">
        <v>2</v>
      </c>
      <c r="B364" s="97"/>
      <c r="C364" s="97" t="s">
        <v>51</v>
      </c>
      <c r="D364" s="103" t="s">
        <v>112</v>
      </c>
      <c r="E364" s="298">
        <v>0.25</v>
      </c>
      <c r="F364" s="298"/>
      <c r="G364" s="348">
        <f t="shared" si="47"/>
        <v>0</v>
      </c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" customHeight="1">
      <c r="A365" s="97">
        <v>3</v>
      </c>
      <c r="B365" s="97"/>
      <c r="C365" s="97" t="s">
        <v>121</v>
      </c>
      <c r="D365" s="103" t="s">
        <v>179</v>
      </c>
      <c r="E365" s="298">
        <v>0.05</v>
      </c>
      <c r="F365" s="298"/>
      <c r="G365" s="348">
        <f t="shared" si="47"/>
        <v>0</v>
      </c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2.75" customHeight="1">
      <c r="A366" s="97"/>
      <c r="B366" s="97"/>
      <c r="C366" s="97"/>
      <c r="D366" s="151" t="s">
        <v>132</v>
      </c>
      <c r="E366" s="152">
        <v>1</v>
      </c>
      <c r="F366" s="152">
        <f>SUM(G363:G365)</f>
        <v>0</v>
      </c>
      <c r="G366" s="152">
        <f t="shared" si="47"/>
        <v>0</v>
      </c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2.75" customHeight="1">
      <c r="A367" s="154"/>
      <c r="B367" s="155"/>
      <c r="C367" s="156"/>
      <c r="D367" s="157"/>
      <c r="E367" s="158"/>
      <c r="F367" s="158"/>
      <c r="G367" s="158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31.5" customHeight="1">
      <c r="A368" s="97" t="s">
        <v>395</v>
      </c>
      <c r="B368" s="144" t="s">
        <v>106</v>
      </c>
      <c r="C368" s="97" t="s">
        <v>60</v>
      </c>
      <c r="D368" s="103" t="s">
        <v>396</v>
      </c>
      <c r="E368" s="105"/>
      <c r="F368" s="105"/>
      <c r="G368" s="105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6.5" customHeight="1">
      <c r="A369" s="97">
        <v>1</v>
      </c>
      <c r="B369" s="97"/>
      <c r="C369" s="97" t="s">
        <v>51</v>
      </c>
      <c r="D369" s="103" t="s">
        <v>397</v>
      </c>
      <c r="E369" s="105">
        <v>1</v>
      </c>
      <c r="F369" s="105"/>
      <c r="G369" s="105">
        <f t="shared" ref="G369:G374" si="48">ROUND(E369*F369,2)</f>
        <v>0</v>
      </c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6.5" customHeight="1">
      <c r="A370" s="97">
        <v>2</v>
      </c>
      <c r="B370" s="97"/>
      <c r="C370" s="97" t="s">
        <v>51</v>
      </c>
      <c r="D370" s="103" t="s">
        <v>112</v>
      </c>
      <c r="E370" s="105">
        <v>1</v>
      </c>
      <c r="F370" s="105"/>
      <c r="G370" s="105">
        <f t="shared" si="48"/>
        <v>0</v>
      </c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25.5" customHeight="1">
      <c r="A371" s="97">
        <v>3</v>
      </c>
      <c r="B371" s="97"/>
      <c r="C371" s="97" t="s">
        <v>121</v>
      </c>
      <c r="D371" s="103" t="s">
        <v>399</v>
      </c>
      <c r="E371" s="105">
        <v>5</v>
      </c>
      <c r="F371" s="105"/>
      <c r="G371" s="105">
        <f t="shared" si="48"/>
        <v>0</v>
      </c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2.75" customHeight="1">
      <c r="A372" s="97">
        <v>4</v>
      </c>
      <c r="B372" s="97"/>
      <c r="C372" s="97" t="s">
        <v>121</v>
      </c>
      <c r="D372" s="103" t="s">
        <v>400</v>
      </c>
      <c r="E372" s="105">
        <v>0.55000000000000004</v>
      </c>
      <c r="F372" s="105"/>
      <c r="G372" s="105">
        <f t="shared" si="48"/>
        <v>0</v>
      </c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38.25" customHeight="1">
      <c r="A373" s="97">
        <v>5</v>
      </c>
      <c r="B373" s="97"/>
      <c r="C373" s="97" t="s">
        <v>60</v>
      </c>
      <c r="D373" s="103" t="s">
        <v>401</v>
      </c>
      <c r="E373" s="105">
        <v>1</v>
      </c>
      <c r="F373" s="105"/>
      <c r="G373" s="105">
        <f t="shared" si="48"/>
        <v>0</v>
      </c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20.25" customHeight="1">
      <c r="A374" s="191"/>
      <c r="B374" s="148"/>
      <c r="C374" s="148"/>
      <c r="D374" s="151" t="s">
        <v>132</v>
      </c>
      <c r="E374" s="152">
        <v>1</v>
      </c>
      <c r="F374" s="152">
        <f>SUM(G369:G373)</f>
        <v>0</v>
      </c>
      <c r="G374" s="152">
        <f t="shared" si="48"/>
        <v>0</v>
      </c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3.5" customHeight="1">
      <c r="A375" s="154"/>
      <c r="B375" s="155"/>
      <c r="C375" s="156"/>
      <c r="D375" s="157"/>
      <c r="E375" s="158"/>
      <c r="F375" s="158"/>
      <c r="G375" s="158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3.5" customHeight="1">
      <c r="A376" s="133" t="s">
        <v>402</v>
      </c>
      <c r="B376" s="144" t="s">
        <v>106</v>
      </c>
      <c r="C376" s="133" t="s">
        <v>60</v>
      </c>
      <c r="D376" s="134" t="s">
        <v>403</v>
      </c>
      <c r="E376" s="275"/>
      <c r="F376" s="275"/>
      <c r="G376" s="275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3.5" customHeight="1">
      <c r="A377" s="97">
        <v>1</v>
      </c>
      <c r="B377" s="97"/>
      <c r="C377" s="97" t="s">
        <v>51</v>
      </c>
      <c r="D377" s="103" t="s">
        <v>397</v>
      </c>
      <c r="E377" s="105">
        <v>1.1000000000000001</v>
      </c>
      <c r="F377" s="105"/>
      <c r="G377" s="105">
        <f t="shared" ref="G377:G380" si="49">ROUND(E377*F377,2)</f>
        <v>0</v>
      </c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3.5" customHeight="1">
      <c r="A378" s="97">
        <v>2</v>
      </c>
      <c r="B378" s="97"/>
      <c r="C378" s="97" t="s">
        <v>51</v>
      </c>
      <c r="D378" s="103" t="s">
        <v>112</v>
      </c>
      <c r="E378" s="105">
        <v>1.1000000000000001</v>
      </c>
      <c r="F378" s="105"/>
      <c r="G378" s="105">
        <f t="shared" si="49"/>
        <v>0</v>
      </c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3.5" customHeight="1">
      <c r="A379" s="97">
        <v>3</v>
      </c>
      <c r="B379" s="97"/>
      <c r="C379" s="97" t="s">
        <v>121</v>
      </c>
      <c r="D379" s="103" t="s">
        <v>406</v>
      </c>
      <c r="E379" s="105">
        <v>5</v>
      </c>
      <c r="F379" s="105"/>
      <c r="G379" s="105">
        <f t="shared" si="49"/>
        <v>0</v>
      </c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3.5" customHeight="1">
      <c r="A380" s="97">
        <v>4</v>
      </c>
      <c r="B380" s="97"/>
      <c r="C380" s="97" t="s">
        <v>121</v>
      </c>
      <c r="D380" s="103" t="s">
        <v>400</v>
      </c>
      <c r="E380" s="105">
        <v>0.55000000000000004</v>
      </c>
      <c r="F380" s="105"/>
      <c r="G380" s="105">
        <f t="shared" si="49"/>
        <v>0</v>
      </c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3.5" customHeight="1">
      <c r="A381" s="98"/>
      <c r="B381" s="98"/>
      <c r="C381" s="98"/>
      <c r="D381" s="151" t="s">
        <v>132</v>
      </c>
      <c r="E381" s="353">
        <v>1</v>
      </c>
      <c r="F381" s="302">
        <f>SUM(G377:G380)</f>
        <v>0</v>
      </c>
      <c r="G381" s="302">
        <f>G380+G379+G378+G377</f>
        <v>0</v>
      </c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3.5" customHeight="1">
      <c r="A382" s="154"/>
      <c r="B382" s="155"/>
      <c r="C382" s="156"/>
      <c r="D382" s="157"/>
      <c r="E382" s="158"/>
      <c r="F382" s="158"/>
      <c r="G382" s="158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" customHeight="1">
      <c r="A383" s="97" t="s">
        <v>408</v>
      </c>
      <c r="B383" s="144" t="s">
        <v>106</v>
      </c>
      <c r="C383" s="97" t="s">
        <v>70</v>
      </c>
      <c r="D383" s="103" t="s">
        <v>409</v>
      </c>
      <c r="E383" s="298"/>
      <c r="F383" s="298"/>
      <c r="G383" s="348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" customHeight="1">
      <c r="A384" s="97">
        <v>1</v>
      </c>
      <c r="B384" s="97"/>
      <c r="C384" s="97" t="s">
        <v>51</v>
      </c>
      <c r="D384" s="103" t="s">
        <v>109</v>
      </c>
      <c r="E384" s="298">
        <v>0.25</v>
      </c>
      <c r="F384" s="298"/>
      <c r="G384" s="348">
        <f t="shared" ref="G384:G386" si="50">F384*E384</f>
        <v>0</v>
      </c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" customHeight="1">
      <c r="A385" s="97">
        <v>2</v>
      </c>
      <c r="B385" s="97"/>
      <c r="C385" s="97" t="s">
        <v>51</v>
      </c>
      <c r="D385" s="103" t="s">
        <v>112</v>
      </c>
      <c r="E385" s="298">
        <v>0.25</v>
      </c>
      <c r="F385" s="298"/>
      <c r="G385" s="348">
        <f t="shared" si="50"/>
        <v>0</v>
      </c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2.75" customHeight="1">
      <c r="A386" s="97"/>
      <c r="B386" s="97"/>
      <c r="C386" s="97"/>
      <c r="D386" s="151" t="s">
        <v>132</v>
      </c>
      <c r="E386" s="152">
        <v>1</v>
      </c>
      <c r="F386" s="152">
        <f>SUM(G384:G385)</f>
        <v>0</v>
      </c>
      <c r="G386" s="152">
        <f t="shared" si="50"/>
        <v>0</v>
      </c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2.75" customHeight="1">
      <c r="A387" s="154"/>
      <c r="B387" s="155"/>
      <c r="C387" s="156"/>
      <c r="D387" s="157"/>
      <c r="E387" s="158"/>
      <c r="F387" s="158"/>
      <c r="G387" s="158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44.25" customHeight="1">
      <c r="A388" s="97" t="s">
        <v>411</v>
      </c>
      <c r="B388" s="144" t="s">
        <v>106</v>
      </c>
      <c r="C388" s="97" t="s">
        <v>60</v>
      </c>
      <c r="D388" s="103" t="s">
        <v>412</v>
      </c>
      <c r="E388" s="298"/>
      <c r="F388" s="298"/>
      <c r="G388" s="348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8" customHeight="1">
      <c r="A389" s="97">
        <v>1</v>
      </c>
      <c r="B389" s="97"/>
      <c r="C389" s="97" t="s">
        <v>121</v>
      </c>
      <c r="D389" s="103" t="s">
        <v>413</v>
      </c>
      <c r="E389" s="298">
        <f>2.7*1.2</f>
        <v>3.24</v>
      </c>
      <c r="F389" s="298"/>
      <c r="G389" s="348">
        <f t="shared" ref="G389:G396" si="51">F389*E389</f>
        <v>0</v>
      </c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2.75" customHeight="1">
      <c r="A390" s="97">
        <v>2</v>
      </c>
      <c r="B390" s="148"/>
      <c r="C390" s="148" t="s">
        <v>51</v>
      </c>
      <c r="D390" s="103" t="s">
        <v>414</v>
      </c>
      <c r="E390" s="123">
        <v>0.7</v>
      </c>
      <c r="F390" s="125"/>
      <c r="G390" s="125">
        <f t="shared" si="51"/>
        <v>0</v>
      </c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" customHeight="1">
      <c r="A391" s="97">
        <v>3</v>
      </c>
      <c r="B391" s="97"/>
      <c r="C391" s="97" t="s">
        <v>18</v>
      </c>
      <c r="D391" s="103" t="s">
        <v>416</v>
      </c>
      <c r="E391" s="298">
        <v>0.2</v>
      </c>
      <c r="F391" s="298"/>
      <c r="G391" s="348">
        <f t="shared" si="51"/>
        <v>0</v>
      </c>
      <c r="H391" s="365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" customHeight="1">
      <c r="A392" s="97">
        <v>4</v>
      </c>
      <c r="B392" s="97"/>
      <c r="C392" s="97" t="s">
        <v>125</v>
      </c>
      <c r="D392" s="103" t="s">
        <v>126</v>
      </c>
      <c r="E392" s="298">
        <v>0.6</v>
      </c>
      <c r="F392" s="298"/>
      <c r="G392" s="348">
        <f t="shared" si="51"/>
        <v>0</v>
      </c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" customHeight="1">
      <c r="A393" s="97">
        <v>5</v>
      </c>
      <c r="B393" s="97"/>
      <c r="C393" s="97" t="s">
        <v>18</v>
      </c>
      <c r="D393" s="103" t="s">
        <v>127</v>
      </c>
      <c r="E393" s="298">
        <v>7.0000000000000007E-2</v>
      </c>
      <c r="F393" s="298"/>
      <c r="G393" s="348">
        <f t="shared" si="51"/>
        <v>0</v>
      </c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" customHeight="1">
      <c r="A394" s="97">
        <v>6</v>
      </c>
      <c r="B394" s="97"/>
      <c r="C394" s="97" t="s">
        <v>51</v>
      </c>
      <c r="D394" s="103" t="s">
        <v>110</v>
      </c>
      <c r="E394" s="298">
        <v>0.5</v>
      </c>
      <c r="F394" s="298"/>
      <c r="G394" s="348">
        <f t="shared" si="51"/>
        <v>0</v>
      </c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" customHeight="1">
      <c r="A395" s="97">
        <v>7</v>
      </c>
      <c r="B395" s="97"/>
      <c r="C395" s="97" t="s">
        <v>51</v>
      </c>
      <c r="D395" s="103" t="s">
        <v>112</v>
      </c>
      <c r="E395" s="298">
        <v>0.7</v>
      </c>
      <c r="F395" s="298"/>
      <c r="G395" s="348">
        <f t="shared" si="51"/>
        <v>0</v>
      </c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2.75" customHeight="1">
      <c r="A396" s="97"/>
      <c r="B396" s="97"/>
      <c r="C396" s="97"/>
      <c r="D396" s="151" t="s">
        <v>132</v>
      </c>
      <c r="E396" s="152">
        <v>1</v>
      </c>
      <c r="F396" s="152">
        <f>SUM(G389:G395)</f>
        <v>0</v>
      </c>
      <c r="G396" s="152">
        <f t="shared" si="51"/>
        <v>0</v>
      </c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2.75" customHeight="1">
      <c r="A397" s="154"/>
      <c r="B397" s="155"/>
      <c r="C397" s="156"/>
      <c r="D397" s="157"/>
      <c r="E397" s="158"/>
      <c r="F397" s="158"/>
      <c r="G397" s="158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54" customHeight="1">
      <c r="A398" s="97" t="s">
        <v>419</v>
      </c>
      <c r="B398" s="97" t="s">
        <v>106</v>
      </c>
      <c r="C398" s="97" t="s">
        <v>60</v>
      </c>
      <c r="D398" s="103" t="s">
        <v>420</v>
      </c>
      <c r="E398" s="298"/>
      <c r="F398" s="298"/>
      <c r="G398" s="348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45" customHeight="1">
      <c r="A399" s="97">
        <v>1</v>
      </c>
      <c r="B399" s="97"/>
      <c r="C399" s="97" t="s">
        <v>267</v>
      </c>
      <c r="D399" s="103" t="s">
        <v>421</v>
      </c>
      <c r="E399" s="298">
        <v>4</v>
      </c>
      <c r="F399" s="298"/>
      <c r="G399" s="348">
        <f t="shared" ref="G399:G405" si="52">F399*E399</f>
        <v>0</v>
      </c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61.5" customHeight="1">
      <c r="A400" s="97">
        <v>2</v>
      </c>
      <c r="B400" s="97"/>
      <c r="C400" s="97" t="s">
        <v>307</v>
      </c>
      <c r="D400" s="103" t="s">
        <v>422</v>
      </c>
      <c r="E400" s="298">
        <v>1.1000000000000001</v>
      </c>
      <c r="F400" s="298"/>
      <c r="G400" s="348">
        <f t="shared" si="52"/>
        <v>0</v>
      </c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30" customHeight="1">
      <c r="A401" s="97">
        <v>3</v>
      </c>
      <c r="B401" s="97"/>
      <c r="C401" s="97" t="s">
        <v>51</v>
      </c>
      <c r="D401" s="103" t="s">
        <v>112</v>
      </c>
      <c r="E401" s="298">
        <v>0.5</v>
      </c>
      <c r="F401" s="298"/>
      <c r="G401" s="348">
        <f t="shared" si="52"/>
        <v>0</v>
      </c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30" customHeight="1">
      <c r="A402" s="97">
        <v>4</v>
      </c>
      <c r="B402" s="97"/>
      <c r="C402" s="97" t="s">
        <v>51</v>
      </c>
      <c r="D402" s="103" t="s">
        <v>424</v>
      </c>
      <c r="E402" s="298">
        <v>0.5</v>
      </c>
      <c r="F402" s="298"/>
      <c r="G402" s="348">
        <f t="shared" si="52"/>
        <v>0</v>
      </c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30" customHeight="1">
      <c r="A403" s="97">
        <v>5</v>
      </c>
      <c r="B403" s="97"/>
      <c r="C403" s="97" t="s">
        <v>425</v>
      </c>
      <c r="D403" s="103" t="s">
        <v>426</v>
      </c>
      <c r="E403" s="298">
        <v>8.9999999999999993E-3</v>
      </c>
      <c r="F403" s="298"/>
      <c r="G403" s="348">
        <f t="shared" si="52"/>
        <v>0</v>
      </c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30" customHeight="1">
      <c r="A404" s="97">
        <v>6</v>
      </c>
      <c r="B404" s="97"/>
      <c r="C404" s="97" t="s">
        <v>427</v>
      </c>
      <c r="D404" s="103" t="s">
        <v>428</v>
      </c>
      <c r="E404" s="298">
        <v>1.2E-2</v>
      </c>
      <c r="F404" s="298"/>
      <c r="G404" s="348">
        <f t="shared" si="52"/>
        <v>0</v>
      </c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30" customHeight="1">
      <c r="A405" s="97"/>
      <c r="B405" s="144"/>
      <c r="C405" s="97"/>
      <c r="D405" s="151" t="s">
        <v>132</v>
      </c>
      <c r="E405" s="152">
        <v>1</v>
      </c>
      <c r="F405" s="152">
        <f>SUM(G399:G404)</f>
        <v>0</v>
      </c>
      <c r="G405" s="152">
        <f t="shared" si="52"/>
        <v>0</v>
      </c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4.25" customHeight="1">
      <c r="A406" s="154"/>
      <c r="B406" s="155"/>
      <c r="C406" s="156"/>
      <c r="D406" s="157"/>
      <c r="E406" s="158"/>
      <c r="F406" s="158"/>
      <c r="G406" s="158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30" customHeight="1">
      <c r="A407" s="97" t="s">
        <v>405</v>
      </c>
      <c r="B407" s="144" t="s">
        <v>106</v>
      </c>
      <c r="C407" s="97" t="s">
        <v>125</v>
      </c>
      <c r="D407" s="103" t="s">
        <v>430</v>
      </c>
      <c r="E407" s="298"/>
      <c r="F407" s="298"/>
      <c r="G407" s="348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" customHeight="1">
      <c r="A408" s="97">
        <v>1</v>
      </c>
      <c r="B408" s="97"/>
      <c r="C408" s="97" t="s">
        <v>51</v>
      </c>
      <c r="D408" s="103" t="s">
        <v>113</v>
      </c>
      <c r="E408" s="298">
        <v>1</v>
      </c>
      <c r="F408" s="298"/>
      <c r="G408" s="348">
        <f t="shared" ref="G408:G413" si="53">F408*E408</f>
        <v>0</v>
      </c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" customHeight="1">
      <c r="A409" s="97">
        <v>2</v>
      </c>
      <c r="B409" s="97"/>
      <c r="C409" s="97" t="s">
        <v>51</v>
      </c>
      <c r="D409" s="103" t="s">
        <v>112</v>
      </c>
      <c r="E409" s="298">
        <v>1</v>
      </c>
      <c r="F409" s="298"/>
      <c r="G409" s="348">
        <f t="shared" si="53"/>
        <v>0</v>
      </c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25.5" customHeight="1">
      <c r="A410" s="97">
        <v>3</v>
      </c>
      <c r="B410" s="97"/>
      <c r="C410" s="97" t="s">
        <v>121</v>
      </c>
      <c r="D410" s="103" t="s">
        <v>431</v>
      </c>
      <c r="E410" s="298">
        <v>12.5</v>
      </c>
      <c r="F410" s="298"/>
      <c r="G410" s="348">
        <f t="shared" si="53"/>
        <v>0</v>
      </c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" customHeight="1">
      <c r="A411" s="97">
        <v>4</v>
      </c>
      <c r="B411" s="97"/>
      <c r="C411" s="97" t="s">
        <v>121</v>
      </c>
      <c r="D411" s="103" t="s">
        <v>195</v>
      </c>
      <c r="E411" s="298">
        <v>2.1</v>
      </c>
      <c r="F411" s="298"/>
      <c r="G411" s="348">
        <f t="shared" si="53"/>
        <v>0</v>
      </c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25.5" customHeight="1">
      <c r="A412" s="97">
        <v>5</v>
      </c>
      <c r="B412" s="97"/>
      <c r="C412" s="97" t="s">
        <v>60</v>
      </c>
      <c r="D412" s="103" t="s">
        <v>433</v>
      </c>
      <c r="E412" s="298">
        <v>0.27</v>
      </c>
      <c r="F412" s="298"/>
      <c r="G412" s="348">
        <f t="shared" si="53"/>
        <v>0</v>
      </c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2.75" customHeight="1">
      <c r="A413" s="148"/>
      <c r="B413" s="148"/>
      <c r="C413" s="148"/>
      <c r="D413" s="151" t="s">
        <v>132</v>
      </c>
      <c r="E413" s="152">
        <v>1</v>
      </c>
      <c r="F413" s="152">
        <f>SUM(G407:G412)</f>
        <v>0</v>
      </c>
      <c r="G413" s="152">
        <f t="shared" si="53"/>
        <v>0</v>
      </c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2.75" customHeight="1">
      <c r="A414" s="154"/>
      <c r="B414" s="155"/>
      <c r="C414" s="156"/>
      <c r="D414" s="157"/>
      <c r="E414" s="158"/>
      <c r="F414" s="158"/>
      <c r="G414" s="158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37.5" customHeight="1">
      <c r="A415" s="97" t="s">
        <v>423</v>
      </c>
      <c r="B415" s="144" t="s">
        <v>106</v>
      </c>
      <c r="C415" s="97" t="s">
        <v>60</v>
      </c>
      <c r="D415" s="103" t="s">
        <v>434</v>
      </c>
      <c r="E415" s="298"/>
      <c r="F415" s="298"/>
      <c r="G415" s="298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51" customHeight="1">
      <c r="A416" s="97">
        <v>1</v>
      </c>
      <c r="B416" s="97"/>
      <c r="C416" s="97" t="s">
        <v>60</v>
      </c>
      <c r="D416" s="103" t="s">
        <v>435</v>
      </c>
      <c r="E416" s="298">
        <v>1</v>
      </c>
      <c r="F416" s="298"/>
      <c r="G416" s="298">
        <f t="shared" ref="G416:G420" si="54">F416*E416</f>
        <v>0</v>
      </c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54" customHeight="1">
      <c r="A417" s="97">
        <v>2</v>
      </c>
      <c r="B417" s="97"/>
      <c r="C417" s="97" t="s">
        <v>436</v>
      </c>
      <c r="D417" s="103" t="s">
        <v>437</v>
      </c>
      <c r="E417" s="298">
        <v>1</v>
      </c>
      <c r="F417" s="298"/>
      <c r="G417" s="298">
        <f t="shared" si="54"/>
        <v>0</v>
      </c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38.25" customHeight="1">
      <c r="A418" s="148">
        <v>3</v>
      </c>
      <c r="B418" s="148"/>
      <c r="C418" s="148" t="s">
        <v>60</v>
      </c>
      <c r="D418" s="103" t="s">
        <v>183</v>
      </c>
      <c r="E418" s="298">
        <v>1</v>
      </c>
      <c r="F418" s="123"/>
      <c r="G418" s="123">
        <f t="shared" si="54"/>
        <v>0</v>
      </c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38.25" customHeight="1">
      <c r="A419" s="148">
        <v>4</v>
      </c>
      <c r="B419" s="148"/>
      <c r="C419" s="148" t="s">
        <v>60</v>
      </c>
      <c r="D419" s="103" t="s">
        <v>438</v>
      </c>
      <c r="E419" s="123">
        <v>1</v>
      </c>
      <c r="F419" s="123"/>
      <c r="G419" s="123">
        <f t="shared" si="54"/>
        <v>0</v>
      </c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2.75" customHeight="1">
      <c r="A420" s="148"/>
      <c r="B420" s="148"/>
      <c r="C420" s="148"/>
      <c r="D420" s="151" t="s">
        <v>132</v>
      </c>
      <c r="E420" s="152">
        <v>1</v>
      </c>
      <c r="F420" s="152">
        <f>SUM(G416:G419)</f>
        <v>0</v>
      </c>
      <c r="G420" s="152">
        <f t="shared" si="54"/>
        <v>0</v>
      </c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2.75" customHeight="1">
      <c r="A421" s="154"/>
      <c r="B421" s="155"/>
      <c r="C421" s="156"/>
      <c r="D421" s="157"/>
      <c r="E421" s="158"/>
      <c r="F421" s="158"/>
      <c r="G421" s="158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31.5" customHeight="1">
      <c r="A422" s="148" t="s">
        <v>439</v>
      </c>
      <c r="B422" s="144" t="s">
        <v>106</v>
      </c>
      <c r="C422" s="97" t="s">
        <v>125</v>
      </c>
      <c r="D422" s="103" t="s">
        <v>440</v>
      </c>
      <c r="E422" s="298"/>
      <c r="F422" s="298"/>
      <c r="G422" s="348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35.25" customHeight="1">
      <c r="A423" s="97">
        <v>1</v>
      </c>
      <c r="B423" s="369"/>
      <c r="C423" s="124" t="s">
        <v>60</v>
      </c>
      <c r="D423" s="343" t="s">
        <v>441</v>
      </c>
      <c r="E423" s="105">
        <f>(0.8+1.4)*0.3</f>
        <v>0.66</v>
      </c>
      <c r="F423" s="129"/>
      <c r="G423" s="105">
        <f t="shared" ref="G423:G425" si="55">ROUND(E423*F423,2)</f>
        <v>0</v>
      </c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25.5" customHeight="1">
      <c r="A424" s="97">
        <v>4</v>
      </c>
      <c r="B424" s="314"/>
      <c r="C424" s="97" t="s">
        <v>82</v>
      </c>
      <c r="D424" s="103" t="s">
        <v>335</v>
      </c>
      <c r="E424" s="105">
        <f>0.4*0.7*0.3</f>
        <v>8.3999999999999991E-2</v>
      </c>
      <c r="F424" s="105"/>
      <c r="G424" s="105">
        <f t="shared" si="55"/>
        <v>0</v>
      </c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2.75" customHeight="1">
      <c r="A425" s="97">
        <v>6</v>
      </c>
      <c r="B425" s="97"/>
      <c r="C425" s="97" t="s">
        <v>60</v>
      </c>
      <c r="D425" s="103" t="s">
        <v>339</v>
      </c>
      <c r="E425" s="105">
        <f>((0.4*0.4)*2)+(2*(0.7*0.4))+0.7*0.4</f>
        <v>1.1599999999999999</v>
      </c>
      <c r="F425" s="105"/>
      <c r="G425" s="105">
        <f t="shared" si="55"/>
        <v>0</v>
      </c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2.75" customHeight="1">
      <c r="A426" s="148"/>
      <c r="B426" s="148"/>
      <c r="C426" s="148"/>
      <c r="D426" s="151" t="s">
        <v>132</v>
      </c>
      <c r="E426" s="152">
        <v>1</v>
      </c>
      <c r="F426" s="152">
        <f>SUM(G423:G425)</f>
        <v>0</v>
      </c>
      <c r="G426" s="152">
        <f>F426*E426</f>
        <v>0</v>
      </c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2.75" customHeight="1">
      <c r="A427" s="154"/>
      <c r="B427" s="155"/>
      <c r="C427" s="156"/>
      <c r="D427" s="157"/>
      <c r="E427" s="158"/>
      <c r="F427" s="158"/>
      <c r="G427" s="158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39.75" customHeight="1">
      <c r="A428" s="97" t="s">
        <v>442</v>
      </c>
      <c r="B428" s="144" t="s">
        <v>106</v>
      </c>
      <c r="C428" s="124"/>
      <c r="D428" s="261" t="s">
        <v>443</v>
      </c>
      <c r="E428" s="171"/>
      <c r="F428" s="171"/>
      <c r="G428" s="171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48" customHeight="1">
      <c r="A429" s="124">
        <v>1</v>
      </c>
      <c r="B429" s="97"/>
      <c r="C429" s="97" t="s">
        <v>60</v>
      </c>
      <c r="D429" s="103" t="s">
        <v>435</v>
      </c>
      <c r="E429" s="298">
        <v>1</v>
      </c>
      <c r="F429" s="298"/>
      <c r="G429" s="105">
        <f>ROUND(E429*F429,2)</f>
        <v>0</v>
      </c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38.25" customHeight="1">
      <c r="A430" s="124">
        <v>2</v>
      </c>
      <c r="B430" s="97"/>
      <c r="C430" s="97" t="s">
        <v>82</v>
      </c>
      <c r="D430" s="103" t="s">
        <v>437</v>
      </c>
      <c r="E430" s="298">
        <v>2</v>
      </c>
      <c r="F430" s="298"/>
      <c r="G430" s="298">
        <f t="shared" ref="G430:G435" si="56">F430*E430</f>
        <v>0</v>
      </c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38.25" customHeight="1">
      <c r="A431" s="124">
        <v>3</v>
      </c>
      <c r="B431" s="148"/>
      <c r="C431" s="148" t="s">
        <v>60</v>
      </c>
      <c r="D431" s="103" t="s">
        <v>438</v>
      </c>
      <c r="E431" s="123">
        <v>2</v>
      </c>
      <c r="F431" s="123"/>
      <c r="G431" s="298">
        <f t="shared" si="56"/>
        <v>0</v>
      </c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25.5">
      <c r="A432" s="124">
        <v>4</v>
      </c>
      <c r="B432" s="124"/>
      <c r="C432" s="148" t="s">
        <v>60</v>
      </c>
      <c r="D432" s="370" t="s">
        <v>444</v>
      </c>
      <c r="E432" s="123">
        <v>2</v>
      </c>
      <c r="F432" s="129"/>
      <c r="G432" s="298">
        <f t="shared" si="56"/>
        <v>0</v>
      </c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25.5">
      <c r="A433" s="124">
        <v>5</v>
      </c>
      <c r="B433" s="124"/>
      <c r="C433" s="148" t="s">
        <v>60</v>
      </c>
      <c r="D433" s="370" t="s">
        <v>445</v>
      </c>
      <c r="E433" s="129">
        <v>2</v>
      </c>
      <c r="F433" s="129"/>
      <c r="G433" s="298">
        <f t="shared" si="56"/>
        <v>0</v>
      </c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25.5">
      <c r="A434" s="124">
        <v>6</v>
      </c>
      <c r="B434" s="124"/>
      <c r="C434" s="148" t="s">
        <v>60</v>
      </c>
      <c r="D434" s="370" t="s">
        <v>446</v>
      </c>
      <c r="E434" s="129">
        <v>2</v>
      </c>
      <c r="F434" s="129"/>
      <c r="G434" s="298">
        <f t="shared" si="56"/>
        <v>0</v>
      </c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24" customHeight="1">
      <c r="A435" s="124">
        <v>7</v>
      </c>
      <c r="B435" s="124"/>
      <c r="C435" s="148" t="s">
        <v>60</v>
      </c>
      <c r="D435" s="370" t="s">
        <v>398</v>
      </c>
      <c r="E435" s="129">
        <v>2</v>
      </c>
      <c r="F435" s="129"/>
      <c r="G435" s="298">
        <f t="shared" si="56"/>
        <v>0</v>
      </c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2.75" customHeight="1">
      <c r="A436" s="124"/>
      <c r="B436" s="124"/>
      <c r="C436" s="124"/>
      <c r="D436" s="151" t="s">
        <v>132</v>
      </c>
      <c r="E436" s="152">
        <v>1</v>
      </c>
      <c r="F436" s="152">
        <f>SUM(G429:G435)</f>
        <v>0</v>
      </c>
      <c r="G436" s="152">
        <f>ROUND(E436*F436,2)</f>
        <v>0</v>
      </c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2.75" customHeight="1">
      <c r="A437" s="154"/>
      <c r="B437" s="155"/>
      <c r="C437" s="156"/>
      <c r="D437" s="157"/>
      <c r="E437" s="158"/>
      <c r="F437" s="158"/>
      <c r="G437" s="158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2.75" customHeight="1">
      <c r="A438" s="371" t="s">
        <v>448</v>
      </c>
      <c r="B438" s="373" t="s">
        <v>106</v>
      </c>
      <c r="C438" s="374" t="s">
        <v>60</v>
      </c>
      <c r="D438" s="375" t="s">
        <v>449</v>
      </c>
      <c r="E438" s="376"/>
      <c r="F438" s="376"/>
      <c r="G438" s="376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2.75" customHeight="1">
      <c r="A439" s="124">
        <v>1</v>
      </c>
      <c r="B439" s="97"/>
      <c r="C439" s="97" t="s">
        <v>60</v>
      </c>
      <c r="D439" s="103" t="s">
        <v>435</v>
      </c>
      <c r="E439" s="298">
        <v>1</v>
      </c>
      <c r="F439" s="298"/>
      <c r="G439" s="105">
        <f>ROUND(E439*F439,2)</f>
        <v>0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2.75" customHeight="1">
      <c r="A440" s="124">
        <v>2</v>
      </c>
      <c r="B440" s="97"/>
      <c r="C440" s="97" t="s">
        <v>82</v>
      </c>
      <c r="D440" s="103" t="s">
        <v>437</v>
      </c>
      <c r="E440" s="298">
        <v>2</v>
      </c>
      <c r="F440" s="298"/>
      <c r="G440" s="298">
        <f t="shared" ref="G440:G444" si="57">F440*E440</f>
        <v>0</v>
      </c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2.75" customHeight="1">
      <c r="A441" s="124">
        <v>3</v>
      </c>
      <c r="B441" s="148"/>
      <c r="C441" s="148" t="s">
        <v>60</v>
      </c>
      <c r="D441" s="103" t="s">
        <v>438</v>
      </c>
      <c r="E441" s="123">
        <v>2</v>
      </c>
      <c r="F441" s="123"/>
      <c r="G441" s="298">
        <f t="shared" si="57"/>
        <v>0</v>
      </c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2.75" customHeight="1">
      <c r="A442" s="124">
        <v>5</v>
      </c>
      <c r="B442" s="124"/>
      <c r="C442" s="148" t="s">
        <v>60</v>
      </c>
      <c r="D442" s="370" t="s">
        <v>445</v>
      </c>
      <c r="E442" s="129">
        <v>2</v>
      </c>
      <c r="F442" s="129"/>
      <c r="G442" s="298">
        <f t="shared" si="57"/>
        <v>0</v>
      </c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2.75" customHeight="1">
      <c r="A443" s="374">
        <v>6</v>
      </c>
      <c r="B443" s="124"/>
      <c r="C443" s="148" t="s">
        <v>60</v>
      </c>
      <c r="D443" s="370" t="s">
        <v>446</v>
      </c>
      <c r="E443" s="129">
        <v>2</v>
      </c>
      <c r="F443" s="129"/>
      <c r="G443" s="298">
        <f t="shared" si="57"/>
        <v>0</v>
      </c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2.75" customHeight="1">
      <c r="A444" s="371"/>
      <c r="B444" s="373"/>
      <c r="C444" s="374"/>
      <c r="D444" s="151" t="s">
        <v>132</v>
      </c>
      <c r="E444" s="152">
        <v>1</v>
      </c>
      <c r="F444" s="152">
        <f>G443+G442+G441+G440+G439</f>
        <v>0</v>
      </c>
      <c r="G444" s="152">
        <f t="shared" si="57"/>
        <v>0</v>
      </c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2.75" customHeight="1">
      <c r="A445" s="154"/>
      <c r="B445" s="155"/>
      <c r="C445" s="156"/>
      <c r="D445" s="157"/>
      <c r="E445" s="158"/>
      <c r="F445" s="158"/>
      <c r="G445" s="158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2.75" customHeight="1">
      <c r="A446" s="97" t="s">
        <v>450</v>
      </c>
      <c r="B446" s="144" t="s">
        <v>106</v>
      </c>
      <c r="C446" s="148" t="s">
        <v>60</v>
      </c>
      <c r="D446" s="103" t="s">
        <v>451</v>
      </c>
      <c r="E446" s="149"/>
      <c r="F446" s="125"/>
      <c r="G446" s="125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" customHeight="1">
      <c r="A447" s="97">
        <v>1</v>
      </c>
      <c r="B447" s="97"/>
      <c r="C447" s="97" t="s">
        <v>51</v>
      </c>
      <c r="D447" s="103" t="s">
        <v>112</v>
      </c>
      <c r="E447" s="298">
        <v>0.8</v>
      </c>
      <c r="F447" s="298"/>
      <c r="G447" s="105">
        <f t="shared" ref="G447:G448" si="58">F447*E447</f>
        <v>0</v>
      </c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2.75" customHeight="1">
      <c r="A448" s="148"/>
      <c r="B448" s="148"/>
      <c r="C448" s="148"/>
      <c r="D448" s="151" t="s">
        <v>132</v>
      </c>
      <c r="E448" s="152">
        <v>1</v>
      </c>
      <c r="F448" s="152">
        <f>SUM(G447)</f>
        <v>0</v>
      </c>
      <c r="G448" s="152">
        <f t="shared" si="58"/>
        <v>0</v>
      </c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2.75" customHeight="1">
      <c r="A449" s="154"/>
      <c r="B449" s="155"/>
      <c r="C449" s="156"/>
      <c r="D449" s="157"/>
      <c r="E449" s="158"/>
      <c r="F449" s="158"/>
      <c r="G449" s="158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2.75" customHeight="1">
      <c r="A450" s="97" t="s">
        <v>316</v>
      </c>
      <c r="B450" s="144" t="s">
        <v>106</v>
      </c>
      <c r="C450" s="124" t="s">
        <v>70</v>
      </c>
      <c r="D450" s="261" t="s">
        <v>336</v>
      </c>
      <c r="E450" s="129"/>
      <c r="F450" s="129"/>
      <c r="G450" s="129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2.75" customHeight="1">
      <c r="A451" s="124">
        <v>1</v>
      </c>
      <c r="B451" s="97"/>
      <c r="C451" s="97" t="s">
        <v>51</v>
      </c>
      <c r="D451" s="103" t="s">
        <v>397</v>
      </c>
      <c r="E451" s="105">
        <v>0.55000000000000004</v>
      </c>
      <c r="F451" s="105"/>
      <c r="G451" s="105">
        <f t="shared" ref="G451:G456" si="59">F451*E451</f>
        <v>0</v>
      </c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2.75" customHeight="1">
      <c r="A452" s="124">
        <v>2</v>
      </c>
      <c r="B452" s="97"/>
      <c r="C452" s="97" t="s">
        <v>51</v>
      </c>
      <c r="D452" s="103" t="s">
        <v>112</v>
      </c>
      <c r="E452" s="105">
        <v>0.55000000000000004</v>
      </c>
      <c r="F452" s="105"/>
      <c r="G452" s="105">
        <f t="shared" si="59"/>
        <v>0</v>
      </c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25.5" customHeight="1">
      <c r="A453" s="124">
        <v>3</v>
      </c>
      <c r="B453" s="97"/>
      <c r="C453" s="97" t="s">
        <v>82</v>
      </c>
      <c r="D453" s="103" t="s">
        <v>117</v>
      </c>
      <c r="E453" s="105">
        <v>0.05</v>
      </c>
      <c r="F453" s="105"/>
      <c r="G453" s="105">
        <f t="shared" si="59"/>
        <v>0</v>
      </c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2.75" customHeight="1">
      <c r="A454" s="124">
        <v>4</v>
      </c>
      <c r="B454" s="97"/>
      <c r="C454" s="97" t="s">
        <v>121</v>
      </c>
      <c r="D454" s="103" t="s">
        <v>350</v>
      </c>
      <c r="E454" s="105">
        <v>7.0000000000000007E-2</v>
      </c>
      <c r="F454" s="105"/>
      <c r="G454" s="105">
        <f t="shared" si="59"/>
        <v>0</v>
      </c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38.25" customHeight="1">
      <c r="A455" s="124">
        <v>5</v>
      </c>
      <c r="B455" s="97"/>
      <c r="C455" s="97" t="s">
        <v>60</v>
      </c>
      <c r="D455" s="103" t="s">
        <v>452</v>
      </c>
      <c r="E455" s="105">
        <v>0.1</v>
      </c>
      <c r="F455" s="105"/>
      <c r="G455" s="105">
        <f t="shared" si="59"/>
        <v>0</v>
      </c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20.25" customHeight="1">
      <c r="A456" s="124"/>
      <c r="B456" s="148"/>
      <c r="C456" s="148"/>
      <c r="D456" s="151" t="s">
        <v>132</v>
      </c>
      <c r="E456" s="152">
        <v>1</v>
      </c>
      <c r="F456" s="152">
        <f>SUM(G451:G455)</f>
        <v>0</v>
      </c>
      <c r="G456" s="152">
        <f t="shared" si="59"/>
        <v>0</v>
      </c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4.25" customHeight="1">
      <c r="A457" s="154"/>
      <c r="B457" s="155"/>
      <c r="C457" s="156"/>
      <c r="D457" s="157"/>
      <c r="E457" s="158"/>
      <c r="F457" s="158"/>
      <c r="G457" s="158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2.75" customHeight="1">
      <c r="A458" s="97" t="s">
        <v>453</v>
      </c>
      <c r="B458" s="144" t="s">
        <v>106</v>
      </c>
      <c r="C458" s="148" t="s">
        <v>125</v>
      </c>
      <c r="D458" s="103" t="s">
        <v>454</v>
      </c>
      <c r="E458" s="149"/>
      <c r="F458" s="125"/>
      <c r="G458" s="125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" customHeight="1">
      <c r="A459" s="97">
        <v>1</v>
      </c>
      <c r="B459" s="97"/>
      <c r="C459" s="97" t="s">
        <v>51</v>
      </c>
      <c r="D459" s="103" t="s">
        <v>112</v>
      </c>
      <c r="E459" s="298">
        <v>0.55000000000000004</v>
      </c>
      <c r="F459" s="298"/>
      <c r="G459" s="105">
        <f t="shared" ref="G459:G460" si="60">F459*E459</f>
        <v>0</v>
      </c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2.75" customHeight="1">
      <c r="A460" s="148"/>
      <c r="B460" s="148"/>
      <c r="C460" s="148"/>
      <c r="D460" s="151" t="s">
        <v>132</v>
      </c>
      <c r="E460" s="152">
        <v>1</v>
      </c>
      <c r="F460" s="152">
        <f>SUM(G459)</f>
        <v>0</v>
      </c>
      <c r="G460" s="152">
        <f t="shared" si="60"/>
        <v>0</v>
      </c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2.75" customHeight="1">
      <c r="A461" s="154"/>
      <c r="B461" s="155"/>
      <c r="C461" s="156"/>
      <c r="D461" s="157"/>
      <c r="E461" s="158"/>
      <c r="F461" s="158"/>
      <c r="G461" s="158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45" customHeight="1">
      <c r="A462" s="97" t="s">
        <v>455</v>
      </c>
      <c r="B462" s="144" t="s">
        <v>106</v>
      </c>
      <c r="C462" s="148" t="s">
        <v>60</v>
      </c>
      <c r="D462" s="103" t="s">
        <v>456</v>
      </c>
      <c r="E462" s="149"/>
      <c r="F462" s="125"/>
      <c r="G462" s="125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" customHeight="1">
      <c r="A463" s="97">
        <v>1</v>
      </c>
      <c r="B463" s="97"/>
      <c r="C463" s="97" t="s">
        <v>51</v>
      </c>
      <c r="D463" s="103" t="s">
        <v>112</v>
      </c>
      <c r="E463" s="298">
        <v>0.35</v>
      </c>
      <c r="F463" s="298"/>
      <c r="G463" s="105">
        <f t="shared" ref="G463:G466" si="61">F463*E463</f>
        <v>0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" customHeight="1">
      <c r="A464" s="97">
        <v>2</v>
      </c>
      <c r="B464" s="97"/>
      <c r="C464" s="97" t="s">
        <v>51</v>
      </c>
      <c r="D464" s="103" t="s">
        <v>414</v>
      </c>
      <c r="E464" s="298">
        <v>0.35</v>
      </c>
      <c r="F464" s="298"/>
      <c r="G464" s="105">
        <f t="shared" si="61"/>
        <v>0</v>
      </c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30" customHeight="1">
      <c r="A465" s="97">
        <v>3</v>
      </c>
      <c r="B465" s="97"/>
      <c r="C465" s="97" t="s">
        <v>121</v>
      </c>
      <c r="D465" s="103" t="s">
        <v>457</v>
      </c>
      <c r="E465" s="298">
        <f>6.3</f>
        <v>6.3</v>
      </c>
      <c r="F465" s="298"/>
      <c r="G465" s="105">
        <f t="shared" si="61"/>
        <v>0</v>
      </c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2.75" customHeight="1">
      <c r="A466" s="148"/>
      <c r="B466" s="148"/>
      <c r="C466" s="148"/>
      <c r="D466" s="151" t="s">
        <v>132</v>
      </c>
      <c r="E466" s="152">
        <v>1</v>
      </c>
      <c r="F466" s="152">
        <f>SUM(G463:G465)</f>
        <v>0</v>
      </c>
      <c r="G466" s="152">
        <f t="shared" si="61"/>
        <v>0</v>
      </c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2.75" customHeight="1">
      <c r="A467" s="154"/>
      <c r="B467" s="155"/>
      <c r="C467" s="156"/>
      <c r="D467" s="157"/>
      <c r="E467" s="158"/>
      <c r="F467" s="158"/>
      <c r="G467" s="158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36.75" customHeight="1">
      <c r="A468" s="97" t="s">
        <v>458</v>
      </c>
      <c r="B468" s="144" t="s">
        <v>106</v>
      </c>
      <c r="C468" s="148" t="s">
        <v>60</v>
      </c>
      <c r="D468" s="103" t="s">
        <v>459</v>
      </c>
      <c r="E468" s="149"/>
      <c r="F468" s="125"/>
      <c r="G468" s="125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2.75" customHeight="1">
      <c r="A469" s="97">
        <v>1</v>
      </c>
      <c r="B469" s="144"/>
      <c r="C469" s="148" t="s">
        <v>51</v>
      </c>
      <c r="D469" s="103" t="s">
        <v>112</v>
      </c>
      <c r="E469" s="149">
        <v>0.35</v>
      </c>
      <c r="F469" s="125"/>
      <c r="G469" s="125">
        <f t="shared" ref="G469:G473" si="62">F469*E469</f>
        <v>0</v>
      </c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2.75" customHeight="1">
      <c r="A470" s="97">
        <v>2</v>
      </c>
      <c r="B470" s="144"/>
      <c r="C470" s="148" t="s">
        <v>51</v>
      </c>
      <c r="D470" s="103" t="s">
        <v>414</v>
      </c>
      <c r="E470" s="149">
        <v>0.35</v>
      </c>
      <c r="F470" s="125"/>
      <c r="G470" s="125">
        <f t="shared" si="62"/>
        <v>0</v>
      </c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2.75" customHeight="1">
      <c r="A471" s="97"/>
      <c r="B471" s="97"/>
      <c r="C471" s="148" t="s">
        <v>125</v>
      </c>
      <c r="D471" s="103" t="s">
        <v>460</v>
      </c>
      <c r="E471" s="149">
        <v>1.5</v>
      </c>
      <c r="F471" s="125"/>
      <c r="G471" s="125">
        <f t="shared" si="62"/>
        <v>0</v>
      </c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2.75" customHeight="1">
      <c r="A472" s="97">
        <v>3</v>
      </c>
      <c r="B472" s="97"/>
      <c r="C472" s="148" t="s">
        <v>121</v>
      </c>
      <c r="D472" s="103" t="s">
        <v>461</v>
      </c>
      <c r="E472" s="149">
        <v>16.079999999999998</v>
      </c>
      <c r="F472" s="125"/>
      <c r="G472" s="125">
        <f t="shared" si="62"/>
        <v>0</v>
      </c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2.75" customHeight="1">
      <c r="A473" s="97"/>
      <c r="B473" s="144"/>
      <c r="C473" s="148"/>
      <c r="D473" s="151" t="s">
        <v>132</v>
      </c>
      <c r="E473" s="152">
        <v>1</v>
      </c>
      <c r="F473" s="152">
        <f>SUM(G469:G472)</f>
        <v>0</v>
      </c>
      <c r="G473" s="152">
        <f t="shared" si="62"/>
        <v>0</v>
      </c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2.75" customHeight="1">
      <c r="A474" s="154"/>
      <c r="B474" s="155"/>
      <c r="C474" s="156"/>
      <c r="D474" s="157"/>
      <c r="E474" s="158"/>
      <c r="F474" s="158"/>
      <c r="G474" s="158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26.25" customHeight="1">
      <c r="A475" s="97" t="s">
        <v>462</v>
      </c>
      <c r="B475" s="144" t="s">
        <v>106</v>
      </c>
      <c r="C475" s="148" t="s">
        <v>60</v>
      </c>
      <c r="D475" s="103" t="s">
        <v>463</v>
      </c>
      <c r="E475" s="149"/>
      <c r="F475" s="125"/>
      <c r="G475" s="125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2.75" customHeight="1">
      <c r="A476" s="97">
        <v>1</v>
      </c>
      <c r="B476" s="144"/>
      <c r="C476" s="148" t="s">
        <v>51</v>
      </c>
      <c r="D476" s="103" t="s">
        <v>112</v>
      </c>
      <c r="E476" s="149">
        <v>0.35</v>
      </c>
      <c r="F476" s="125"/>
      <c r="G476" s="125">
        <f t="shared" ref="G476:G479" si="63">F476*E476</f>
        <v>0</v>
      </c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2.75" customHeight="1">
      <c r="A477" s="97">
        <v>2</v>
      </c>
      <c r="B477" s="144"/>
      <c r="C477" s="148" t="s">
        <v>51</v>
      </c>
      <c r="D477" s="103" t="s">
        <v>414</v>
      </c>
      <c r="E477" s="149">
        <v>0.35</v>
      </c>
      <c r="F477" s="125"/>
      <c r="G477" s="125">
        <f t="shared" si="63"/>
        <v>0</v>
      </c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2.75" customHeight="1">
      <c r="A478" s="97">
        <v>3</v>
      </c>
      <c r="B478" s="97"/>
      <c r="C478" s="148" t="s">
        <v>121</v>
      </c>
      <c r="D478" s="103" t="s">
        <v>461</v>
      </c>
      <c r="E478" s="149">
        <v>8.0399999999999991</v>
      </c>
      <c r="F478" s="125"/>
      <c r="G478" s="125">
        <f t="shared" si="63"/>
        <v>0</v>
      </c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2.75" customHeight="1">
      <c r="A479" s="97"/>
      <c r="B479" s="144"/>
      <c r="C479" s="148"/>
      <c r="D479" s="151" t="s">
        <v>132</v>
      </c>
      <c r="E479" s="152">
        <v>1</v>
      </c>
      <c r="F479" s="152">
        <f>SUM(G476:G478)</f>
        <v>0</v>
      </c>
      <c r="G479" s="152">
        <f t="shared" si="63"/>
        <v>0</v>
      </c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2.75" customHeight="1">
      <c r="A480" s="154"/>
      <c r="B480" s="155"/>
      <c r="C480" s="156"/>
      <c r="D480" s="157"/>
      <c r="E480" s="158"/>
      <c r="F480" s="158"/>
      <c r="G480" s="158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2.75" customHeight="1">
      <c r="A481" s="97"/>
      <c r="B481" s="144"/>
      <c r="C481" s="148"/>
      <c r="D481" s="103"/>
      <c r="E481" s="149"/>
      <c r="F481" s="125"/>
      <c r="G481" s="125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2.75" customHeight="1">
      <c r="A482" s="97" t="s">
        <v>466</v>
      </c>
      <c r="B482" s="144" t="s">
        <v>106</v>
      </c>
      <c r="C482" s="148" t="s">
        <v>60</v>
      </c>
      <c r="D482" s="103" t="s">
        <v>467</v>
      </c>
      <c r="E482" s="149"/>
      <c r="F482" s="125"/>
      <c r="G482" s="125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" customHeight="1">
      <c r="A483" s="97">
        <v>1</v>
      </c>
      <c r="B483" s="97"/>
      <c r="C483" s="97" t="s">
        <v>51</v>
      </c>
      <c r="D483" s="103" t="s">
        <v>414</v>
      </c>
      <c r="E483" s="298">
        <v>0.5</v>
      </c>
      <c r="F483" s="298"/>
      <c r="G483" s="105">
        <f t="shared" ref="G483:G485" si="64">F483*E483</f>
        <v>0</v>
      </c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" customHeight="1">
      <c r="A484" s="133">
        <v>2</v>
      </c>
      <c r="B484" s="133"/>
      <c r="C484" s="133" t="s">
        <v>60</v>
      </c>
      <c r="D484" s="134" t="s">
        <v>128</v>
      </c>
      <c r="E484" s="300">
        <v>1.05</v>
      </c>
      <c r="F484" s="300"/>
      <c r="G484" s="136">
        <f t="shared" si="64"/>
        <v>0</v>
      </c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2.75" customHeight="1">
      <c r="A485" s="148"/>
      <c r="B485" s="148"/>
      <c r="C485" s="148"/>
      <c r="D485" s="151" t="s">
        <v>132</v>
      </c>
      <c r="E485" s="152">
        <v>1</v>
      </c>
      <c r="F485" s="152">
        <f>SUM(G483:G484)</f>
        <v>0</v>
      </c>
      <c r="G485" s="152">
        <f t="shared" si="64"/>
        <v>0</v>
      </c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2.75" customHeight="1">
      <c r="A486" s="154"/>
      <c r="B486" s="155"/>
      <c r="C486" s="156"/>
      <c r="D486" s="157"/>
      <c r="E486" s="158"/>
      <c r="F486" s="158"/>
      <c r="G486" s="158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2.75" customHeight="1">
      <c r="A487" s="97" t="s">
        <v>470</v>
      </c>
      <c r="B487" s="144" t="s">
        <v>106</v>
      </c>
      <c r="C487" s="148" t="s">
        <v>125</v>
      </c>
      <c r="D487" s="103" t="s">
        <v>133</v>
      </c>
      <c r="E487" s="149"/>
      <c r="F487" s="125"/>
      <c r="G487" s="125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" customHeight="1">
      <c r="A488" s="97">
        <v>1</v>
      </c>
      <c r="B488" s="97"/>
      <c r="C488" s="97" t="s">
        <v>51</v>
      </c>
      <c r="D488" s="103" t="s">
        <v>112</v>
      </c>
      <c r="E488" s="298">
        <v>0.22</v>
      </c>
      <c r="F488" s="298"/>
      <c r="G488" s="105">
        <f t="shared" ref="G488:G490" si="65">F488*E488</f>
        <v>0</v>
      </c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" customHeight="1">
      <c r="A489" s="133">
        <v>2</v>
      </c>
      <c r="B489" s="133"/>
      <c r="C489" s="133" t="s">
        <v>125</v>
      </c>
      <c r="D489" s="134" t="s">
        <v>133</v>
      </c>
      <c r="E489" s="300">
        <v>1</v>
      </c>
      <c r="F489" s="300"/>
      <c r="G489" s="136">
        <f t="shared" si="65"/>
        <v>0</v>
      </c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2.75" customHeight="1">
      <c r="A490" s="148"/>
      <c r="B490" s="148"/>
      <c r="C490" s="148"/>
      <c r="D490" s="151" t="s">
        <v>132</v>
      </c>
      <c r="E490" s="152">
        <v>1</v>
      </c>
      <c r="F490" s="152">
        <f>SUM(G488:G489)</f>
        <v>0</v>
      </c>
      <c r="G490" s="152">
        <f t="shared" si="65"/>
        <v>0</v>
      </c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2.75" customHeight="1">
      <c r="A491" s="154"/>
      <c r="B491" s="155"/>
      <c r="C491" s="156"/>
      <c r="D491" s="157"/>
      <c r="E491" s="158"/>
      <c r="F491" s="158"/>
      <c r="G491" s="158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33.75" customHeight="1">
      <c r="A492" s="97" t="s">
        <v>115</v>
      </c>
      <c r="B492" s="144" t="s">
        <v>106</v>
      </c>
      <c r="C492" s="148"/>
      <c r="D492" s="103" t="s">
        <v>116</v>
      </c>
      <c r="E492" s="149"/>
      <c r="F492" s="125"/>
      <c r="G492" s="125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" customHeight="1">
      <c r="A493" s="97">
        <v>1</v>
      </c>
      <c r="B493" s="97"/>
      <c r="C493" s="97" t="s">
        <v>51</v>
      </c>
      <c r="D493" s="103" t="s">
        <v>109</v>
      </c>
      <c r="E493" s="298">
        <v>0.25</v>
      </c>
      <c r="F493" s="298"/>
      <c r="G493" s="105">
        <f t="shared" ref="G493:G500" si="66">F493*E493</f>
        <v>0</v>
      </c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" customHeight="1">
      <c r="A494" s="97">
        <v>2</v>
      </c>
      <c r="B494" s="97"/>
      <c r="C494" s="97" t="s">
        <v>51</v>
      </c>
      <c r="D494" s="103" t="s">
        <v>112</v>
      </c>
      <c r="E494" s="298">
        <v>0.25</v>
      </c>
      <c r="F494" s="298"/>
      <c r="G494" s="105">
        <f t="shared" si="66"/>
        <v>0</v>
      </c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" customHeight="1">
      <c r="A495" s="97">
        <v>3</v>
      </c>
      <c r="B495" s="97"/>
      <c r="C495" s="97" t="s">
        <v>51</v>
      </c>
      <c r="D495" s="103" t="s">
        <v>113</v>
      </c>
      <c r="E495" s="298">
        <v>0.2</v>
      </c>
      <c r="F495" s="298"/>
      <c r="G495" s="105">
        <f t="shared" si="66"/>
        <v>0</v>
      </c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25.5" customHeight="1">
      <c r="A496" s="97">
        <v>4</v>
      </c>
      <c r="B496" s="97"/>
      <c r="C496" s="97" t="s">
        <v>82</v>
      </c>
      <c r="D496" s="103" t="s">
        <v>117</v>
      </c>
      <c r="E496" s="298">
        <v>0.05</v>
      </c>
      <c r="F496" s="298"/>
      <c r="G496" s="105">
        <f t="shared" si="66"/>
        <v>0</v>
      </c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25.5" customHeight="1">
      <c r="A497" s="97">
        <v>5</v>
      </c>
      <c r="B497" s="97"/>
      <c r="C497" s="97" t="s">
        <v>70</v>
      </c>
      <c r="D497" s="103" t="s">
        <v>471</v>
      </c>
      <c r="E497" s="298">
        <v>2.2999999999999998</v>
      </c>
      <c r="F497" s="298"/>
      <c r="G497" s="105">
        <f t="shared" si="66"/>
        <v>0</v>
      </c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" customHeight="1">
      <c r="A498" s="97">
        <v>6</v>
      </c>
      <c r="B498" s="97"/>
      <c r="C498" s="97" t="s">
        <v>121</v>
      </c>
      <c r="D498" s="103" t="s">
        <v>122</v>
      </c>
      <c r="E498" s="298">
        <v>0.2</v>
      </c>
      <c r="F498" s="298"/>
      <c r="G498" s="105">
        <f t="shared" si="66"/>
        <v>0</v>
      </c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25.5" customHeight="1">
      <c r="A499" s="97">
        <v>7</v>
      </c>
      <c r="B499" s="97"/>
      <c r="C499" s="97" t="s">
        <v>60</v>
      </c>
      <c r="D499" s="103" t="s">
        <v>472</v>
      </c>
      <c r="E499" s="298">
        <v>0.2</v>
      </c>
      <c r="F499" s="298"/>
      <c r="G499" s="105">
        <f t="shared" si="66"/>
        <v>0</v>
      </c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2.75" customHeight="1">
      <c r="A500" s="148"/>
      <c r="B500" s="148"/>
      <c r="C500" s="148"/>
      <c r="D500" s="151" t="s">
        <v>132</v>
      </c>
      <c r="E500" s="152">
        <v>1</v>
      </c>
      <c r="F500" s="152">
        <f>SUM(G493:G499)</f>
        <v>0</v>
      </c>
      <c r="G500" s="152">
        <f t="shared" si="66"/>
        <v>0</v>
      </c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2.75" customHeight="1">
      <c r="A501" s="154"/>
      <c r="B501" s="155"/>
      <c r="C501" s="156"/>
      <c r="D501" s="157"/>
      <c r="E501" s="158"/>
      <c r="F501" s="158"/>
      <c r="G501" s="158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2.75" customHeight="1">
      <c r="A502" s="97" t="s">
        <v>233</v>
      </c>
      <c r="B502" s="144" t="s">
        <v>106</v>
      </c>
      <c r="C502" s="148" t="s">
        <v>60</v>
      </c>
      <c r="D502" s="103" t="s">
        <v>474</v>
      </c>
      <c r="E502" s="149"/>
      <c r="F502" s="125"/>
      <c r="G502" s="125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" customHeight="1">
      <c r="A503" s="97">
        <v>1</v>
      </c>
      <c r="B503" s="97"/>
      <c r="C503" s="97" t="s">
        <v>51</v>
      </c>
      <c r="D503" s="103" t="s">
        <v>112</v>
      </c>
      <c r="E503" s="298">
        <v>1.26</v>
      </c>
      <c r="F503" s="298"/>
      <c r="G503" s="105">
        <f t="shared" ref="G503:G504" si="67">F503*E503</f>
        <v>0</v>
      </c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2.75" customHeight="1">
      <c r="A504" s="148"/>
      <c r="B504" s="148"/>
      <c r="C504" s="148"/>
      <c r="D504" s="151" t="s">
        <v>132</v>
      </c>
      <c r="E504" s="152">
        <v>1</v>
      </c>
      <c r="F504" s="152">
        <f>SUM(G503)</f>
        <v>0</v>
      </c>
      <c r="G504" s="152">
        <f t="shared" si="67"/>
        <v>0</v>
      </c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2.75" customHeight="1">
      <c r="A505" s="154"/>
      <c r="B505" s="155"/>
      <c r="C505" s="156"/>
      <c r="D505" s="157"/>
      <c r="E505" s="158"/>
      <c r="F505" s="158"/>
      <c r="G505" s="158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2.75" customHeight="1">
      <c r="A506" s="97" t="s">
        <v>476</v>
      </c>
      <c r="B506" s="144" t="s">
        <v>106</v>
      </c>
      <c r="C506" s="148" t="s">
        <v>60</v>
      </c>
      <c r="D506" s="103" t="s">
        <v>477</v>
      </c>
      <c r="E506" s="149"/>
      <c r="F506" s="125"/>
      <c r="G506" s="125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2.75" customHeight="1">
      <c r="A507" s="97">
        <v>1</v>
      </c>
      <c r="B507" s="97"/>
      <c r="C507" s="97" t="s">
        <v>51</v>
      </c>
      <c r="D507" s="103" t="s">
        <v>112</v>
      </c>
      <c r="E507" s="298">
        <v>1.26</v>
      </c>
      <c r="F507" s="298"/>
      <c r="G507" s="105">
        <f>F507*E507</f>
        <v>0</v>
      </c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2.75" customHeight="1">
      <c r="A508" s="148">
        <v>2</v>
      </c>
      <c r="B508" s="97"/>
      <c r="C508" s="97" t="s">
        <v>51</v>
      </c>
      <c r="D508" s="103" t="s">
        <v>397</v>
      </c>
      <c r="E508" s="105">
        <v>1.1000000000000001</v>
      </c>
      <c r="F508" s="105"/>
      <c r="G508" s="105">
        <f t="shared" ref="G508:G510" si="68">ROUND(E508*F508,2)</f>
        <v>0</v>
      </c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2.75" customHeight="1">
      <c r="A509" s="148">
        <v>3</v>
      </c>
      <c r="B509" s="97"/>
      <c r="C509" s="97" t="s">
        <v>121</v>
      </c>
      <c r="D509" s="103" t="s">
        <v>400</v>
      </c>
      <c r="E509" s="105">
        <v>0.55000000000000004</v>
      </c>
      <c r="F509" s="105"/>
      <c r="G509" s="105">
        <f t="shared" si="68"/>
        <v>0</v>
      </c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2.75" customHeight="1">
      <c r="A510" s="148">
        <v>4</v>
      </c>
      <c r="B510" s="148"/>
      <c r="C510" s="148" t="s">
        <v>60</v>
      </c>
      <c r="D510" s="103" t="s">
        <v>290</v>
      </c>
      <c r="E510" s="152">
        <f>0.33*1.8</f>
        <v>0.59400000000000008</v>
      </c>
      <c r="F510" s="152"/>
      <c r="G510" s="105">
        <f t="shared" si="68"/>
        <v>0</v>
      </c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2.75" customHeight="1">
      <c r="A511" s="148"/>
      <c r="B511" s="148"/>
      <c r="C511" s="148"/>
      <c r="D511" s="151" t="s">
        <v>132</v>
      </c>
      <c r="E511" s="152">
        <v>1</v>
      </c>
      <c r="F511" s="152">
        <f>G507+G508+G509+G510</f>
        <v>0</v>
      </c>
      <c r="G511" s="152">
        <f>F511*E511</f>
        <v>0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2.75" customHeight="1">
      <c r="A512" s="154"/>
      <c r="B512" s="155"/>
      <c r="C512" s="156"/>
      <c r="D512" s="157"/>
      <c r="E512" s="158"/>
      <c r="F512" s="158"/>
      <c r="G512" s="158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2.75" customHeight="1">
      <c r="A513" s="97" t="s">
        <v>429</v>
      </c>
      <c r="B513" s="144" t="s">
        <v>106</v>
      </c>
      <c r="C513" s="148" t="s">
        <v>125</v>
      </c>
      <c r="D513" s="103" t="s">
        <v>478</v>
      </c>
      <c r="E513" s="149"/>
      <c r="F513" s="125"/>
      <c r="G513" s="125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" customHeight="1">
      <c r="A514" s="97">
        <v>1</v>
      </c>
      <c r="B514" s="97"/>
      <c r="C514" s="97" t="s">
        <v>51</v>
      </c>
      <c r="D514" s="103" t="s">
        <v>112</v>
      </c>
      <c r="E514" s="298">
        <v>1.1599999999999999</v>
      </c>
      <c r="F514" s="298"/>
      <c r="G514" s="105">
        <f t="shared" ref="G514:G517" si="69">F514*E514</f>
        <v>0</v>
      </c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" customHeight="1">
      <c r="A515" s="97">
        <v>2</v>
      </c>
      <c r="B515" s="97"/>
      <c r="C515" s="97" t="s">
        <v>121</v>
      </c>
      <c r="D515" s="103" t="s">
        <v>258</v>
      </c>
      <c r="E515" s="298">
        <v>1.1599999999999999</v>
      </c>
      <c r="F515" s="298"/>
      <c r="G515" s="348">
        <f t="shared" si="69"/>
        <v>0</v>
      </c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" customHeight="1">
      <c r="A516" s="97">
        <v>3</v>
      </c>
      <c r="B516" s="97"/>
      <c r="C516" s="97" t="s">
        <v>121</v>
      </c>
      <c r="D516" s="103" t="s">
        <v>479</v>
      </c>
      <c r="E516" s="298">
        <v>1</v>
      </c>
      <c r="F516" s="298"/>
      <c r="G516" s="348">
        <f t="shared" si="69"/>
        <v>0</v>
      </c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2.75" customHeight="1">
      <c r="A517" s="148"/>
      <c r="B517" s="148"/>
      <c r="C517" s="148"/>
      <c r="D517" s="151" t="s">
        <v>132</v>
      </c>
      <c r="E517" s="152">
        <v>1</v>
      </c>
      <c r="F517" s="152">
        <f>SUM(G514:G516)</f>
        <v>0</v>
      </c>
      <c r="G517" s="152">
        <f t="shared" si="69"/>
        <v>0</v>
      </c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2.75" customHeight="1">
      <c r="A518" s="154"/>
      <c r="B518" s="155"/>
      <c r="C518" s="156"/>
      <c r="D518" s="157"/>
      <c r="E518" s="158"/>
      <c r="F518" s="158"/>
      <c r="G518" s="158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2.75" customHeight="1">
      <c r="A519" s="97" t="s">
        <v>432</v>
      </c>
      <c r="B519" s="144" t="s">
        <v>106</v>
      </c>
      <c r="C519" s="148" t="s">
        <v>125</v>
      </c>
      <c r="D519" s="103" t="s">
        <v>481</v>
      </c>
      <c r="E519" s="149"/>
      <c r="F519" s="125"/>
      <c r="G519" s="125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" customHeight="1">
      <c r="A520" s="97">
        <v>1</v>
      </c>
      <c r="B520" s="97"/>
      <c r="C520" s="97" t="s">
        <v>51</v>
      </c>
      <c r="D520" s="103" t="s">
        <v>112</v>
      </c>
      <c r="E520" s="298">
        <v>0.61</v>
      </c>
      <c r="F520" s="298"/>
      <c r="G520" s="105">
        <f>F520*E520</f>
        <v>0</v>
      </c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2.75" customHeight="1">
      <c r="A521" s="97">
        <v>2</v>
      </c>
      <c r="B521" s="97"/>
      <c r="C521" s="97" t="s">
        <v>51</v>
      </c>
      <c r="D521" s="103" t="s">
        <v>175</v>
      </c>
      <c r="E521" s="105">
        <v>0.98</v>
      </c>
      <c r="F521" s="105"/>
      <c r="G521" s="105">
        <f>ROUND(E521*F521,2)</f>
        <v>0</v>
      </c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7.25" customHeight="1">
      <c r="A522" s="97">
        <v>3</v>
      </c>
      <c r="B522" s="97"/>
      <c r="C522" s="97" t="s">
        <v>125</v>
      </c>
      <c r="D522" s="103" t="s">
        <v>176</v>
      </c>
      <c r="E522" s="298">
        <v>0.05</v>
      </c>
      <c r="F522" s="298"/>
      <c r="G522" s="348">
        <f t="shared" ref="G522:G523" si="70">F522*E522</f>
        <v>0</v>
      </c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2.75" customHeight="1">
      <c r="A523" s="148"/>
      <c r="B523" s="148"/>
      <c r="C523" s="148"/>
      <c r="D523" s="151" t="s">
        <v>132</v>
      </c>
      <c r="E523" s="152">
        <v>1</v>
      </c>
      <c r="F523" s="152">
        <f>SUM(G520:G522)</f>
        <v>0</v>
      </c>
      <c r="G523" s="152">
        <f t="shared" si="70"/>
        <v>0</v>
      </c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2.75" customHeight="1">
      <c r="A524" s="154"/>
      <c r="B524" s="155"/>
      <c r="C524" s="156"/>
      <c r="D524" s="157"/>
      <c r="E524" s="278"/>
      <c r="F524" s="278"/>
      <c r="G524" s="278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2.75" customHeight="1">
      <c r="A525" s="97" t="s">
        <v>483</v>
      </c>
      <c r="B525" s="144" t="s">
        <v>106</v>
      </c>
      <c r="C525" s="148" t="s">
        <v>125</v>
      </c>
      <c r="D525" s="103" t="s">
        <v>484</v>
      </c>
      <c r="E525" s="149"/>
      <c r="F525" s="125"/>
      <c r="G525" s="125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" customHeight="1">
      <c r="A526" s="97">
        <v>1</v>
      </c>
      <c r="B526" s="97"/>
      <c r="C526" s="97" t="s">
        <v>51</v>
      </c>
      <c r="D526" s="103" t="s">
        <v>112</v>
      </c>
      <c r="E526" s="298">
        <v>0.55000000000000004</v>
      </c>
      <c r="F526" s="298"/>
      <c r="G526" s="105">
        <f t="shared" ref="G526:G527" si="71">F526*E526</f>
        <v>0</v>
      </c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2.75" customHeight="1">
      <c r="A527" s="148"/>
      <c r="B527" s="148"/>
      <c r="C527" s="148"/>
      <c r="D527" s="151" t="s">
        <v>132</v>
      </c>
      <c r="E527" s="152">
        <v>1</v>
      </c>
      <c r="F527" s="152">
        <f>SUM(G526)</f>
        <v>0</v>
      </c>
      <c r="G527" s="152">
        <f t="shared" si="71"/>
        <v>0</v>
      </c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2.75" customHeight="1">
      <c r="A528" s="154"/>
      <c r="B528" s="155"/>
      <c r="C528" s="156"/>
      <c r="D528" s="157"/>
      <c r="E528" s="158"/>
      <c r="F528" s="158"/>
      <c r="G528" s="158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2.75" customHeight="1">
      <c r="A529" s="97" t="s">
        <v>486</v>
      </c>
      <c r="B529" s="144" t="s">
        <v>106</v>
      </c>
      <c r="C529" s="148" t="s">
        <v>125</v>
      </c>
      <c r="D529" s="103" t="s">
        <v>487</v>
      </c>
      <c r="E529" s="149"/>
      <c r="F529" s="125"/>
      <c r="G529" s="125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" customHeight="1">
      <c r="A530" s="97">
        <v>1</v>
      </c>
      <c r="B530" s="97"/>
      <c r="C530" s="97" t="s">
        <v>51</v>
      </c>
      <c r="D530" s="103" t="s">
        <v>488</v>
      </c>
      <c r="E530" s="298">
        <v>0.4</v>
      </c>
      <c r="F530" s="298"/>
      <c r="G530" s="105">
        <f t="shared" ref="G530:G532" si="72">F530*E530</f>
        <v>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" customHeight="1">
      <c r="A531" s="97">
        <v>2</v>
      </c>
      <c r="B531" s="97"/>
      <c r="C531" s="97" t="s">
        <v>51</v>
      </c>
      <c r="D531" s="103" t="s">
        <v>112</v>
      </c>
      <c r="E531" s="298">
        <v>0.3</v>
      </c>
      <c r="F531" s="298"/>
      <c r="G531" s="105">
        <f t="shared" si="72"/>
        <v>0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2.75" customHeight="1">
      <c r="A532" s="122"/>
      <c r="B532" s="122"/>
      <c r="C532" s="148"/>
      <c r="D532" s="151" t="s">
        <v>132</v>
      </c>
      <c r="E532" s="152">
        <v>1</v>
      </c>
      <c r="F532" s="152">
        <f>SUM(G530:G531)</f>
        <v>0</v>
      </c>
      <c r="G532" s="152">
        <f t="shared" si="72"/>
        <v>0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2.75" customHeight="1">
      <c r="A533" s="154"/>
      <c r="B533" s="155"/>
      <c r="C533" s="156"/>
      <c r="D533" s="157"/>
      <c r="E533" s="158"/>
      <c r="F533" s="158"/>
      <c r="G533" s="158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" customHeight="1">
      <c r="A534" s="97" t="s">
        <v>489</v>
      </c>
      <c r="B534" s="97" t="s">
        <v>106</v>
      </c>
      <c r="C534" s="148" t="s">
        <v>45</v>
      </c>
      <c r="D534" s="103" t="s">
        <v>490</v>
      </c>
      <c r="E534" s="149"/>
      <c r="F534" s="125"/>
      <c r="G534" s="125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" customHeight="1">
      <c r="A535" s="97">
        <v>1</v>
      </c>
      <c r="B535" s="144"/>
      <c r="C535" s="148" t="s">
        <v>51</v>
      </c>
      <c r="D535" s="103" t="s">
        <v>109</v>
      </c>
      <c r="E535" s="123">
        <v>0.4</v>
      </c>
      <c r="F535" s="125"/>
      <c r="G535" s="125">
        <f t="shared" ref="G535:G538" si="73">F535*E535</f>
        <v>0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" customHeight="1">
      <c r="A536" s="97">
        <v>2</v>
      </c>
      <c r="B536" s="97"/>
      <c r="C536" s="97" t="s">
        <v>51</v>
      </c>
      <c r="D536" s="103" t="s">
        <v>112</v>
      </c>
      <c r="E536" s="298">
        <v>0.3</v>
      </c>
      <c r="F536" s="298"/>
      <c r="G536" s="105">
        <f t="shared" si="73"/>
        <v>0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" customHeight="1">
      <c r="A537" s="97">
        <v>3</v>
      </c>
      <c r="B537" s="133"/>
      <c r="C537" s="133" t="s">
        <v>125</v>
      </c>
      <c r="D537" s="134" t="s">
        <v>491</v>
      </c>
      <c r="E537" s="135">
        <v>1</v>
      </c>
      <c r="F537" s="135"/>
      <c r="G537" s="136">
        <f t="shared" si="73"/>
        <v>0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" customHeight="1">
      <c r="A538" s="97"/>
      <c r="B538" s="144"/>
      <c r="C538" s="148"/>
      <c r="D538" s="151" t="s">
        <v>132</v>
      </c>
      <c r="E538" s="152">
        <v>1</v>
      </c>
      <c r="F538" s="152">
        <f>SUM(G535:G537)</f>
        <v>0</v>
      </c>
      <c r="G538" s="152">
        <f t="shared" si="73"/>
        <v>0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" customHeight="1">
      <c r="A539" s="381"/>
      <c r="B539" s="382"/>
      <c r="C539" s="383"/>
      <c r="D539" s="384"/>
      <c r="E539" s="385"/>
      <c r="F539" s="386"/>
      <c r="G539" s="386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" customHeight="1">
      <c r="A540" s="97" t="s">
        <v>492</v>
      </c>
      <c r="B540" s="97" t="s">
        <v>106</v>
      </c>
      <c r="C540" s="148" t="s">
        <v>45</v>
      </c>
      <c r="D540" s="103" t="s">
        <v>493</v>
      </c>
      <c r="E540" s="149"/>
      <c r="F540" s="125"/>
      <c r="G540" s="125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" customHeight="1">
      <c r="A541" s="97">
        <v>1</v>
      </c>
      <c r="B541" s="144"/>
      <c r="C541" s="148" t="s">
        <v>51</v>
      </c>
      <c r="D541" s="103" t="s">
        <v>109</v>
      </c>
      <c r="E541" s="123">
        <v>0.4</v>
      </c>
      <c r="F541" s="125"/>
      <c r="G541" s="125">
        <f t="shared" ref="G541:G544" si="74">F541*E541</f>
        <v>0</v>
      </c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" customHeight="1">
      <c r="A542" s="97">
        <v>2</v>
      </c>
      <c r="B542" s="97"/>
      <c r="C542" s="97" t="s">
        <v>51</v>
      </c>
      <c r="D542" s="103" t="s">
        <v>112</v>
      </c>
      <c r="E542" s="298">
        <v>0.3</v>
      </c>
      <c r="F542" s="298"/>
      <c r="G542" s="105">
        <f t="shared" si="74"/>
        <v>0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" customHeight="1">
      <c r="A543" s="97">
        <v>3</v>
      </c>
      <c r="B543" s="133"/>
      <c r="C543" s="133" t="s">
        <v>494</v>
      </c>
      <c r="D543" s="134" t="s">
        <v>495</v>
      </c>
      <c r="E543" s="135">
        <v>1</v>
      </c>
      <c r="F543" s="135"/>
      <c r="G543" s="136">
        <f t="shared" si="74"/>
        <v>0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" customHeight="1">
      <c r="A544" s="97"/>
      <c r="B544" s="144"/>
      <c r="C544" s="148"/>
      <c r="D544" s="151" t="s">
        <v>132</v>
      </c>
      <c r="E544" s="152">
        <v>1</v>
      </c>
      <c r="F544" s="152">
        <f>SUM(G541:G543)</f>
        <v>0</v>
      </c>
      <c r="G544" s="152">
        <f t="shared" si="74"/>
        <v>0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" customHeight="1">
      <c r="A545" s="381"/>
      <c r="B545" s="382"/>
      <c r="C545" s="383"/>
      <c r="D545" s="384"/>
      <c r="E545" s="385"/>
      <c r="F545" s="386"/>
      <c r="G545" s="386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" customHeight="1">
      <c r="A546" s="97" t="s">
        <v>497</v>
      </c>
      <c r="B546" s="144" t="s">
        <v>106</v>
      </c>
      <c r="C546" s="148" t="s">
        <v>70</v>
      </c>
      <c r="D546" s="103" t="s">
        <v>498</v>
      </c>
      <c r="E546" s="149"/>
      <c r="F546" s="125"/>
      <c r="G546" s="125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" customHeight="1">
      <c r="A547" s="97">
        <v>1</v>
      </c>
      <c r="B547" s="97"/>
      <c r="C547" s="97" t="s">
        <v>51</v>
      </c>
      <c r="D547" s="103" t="s">
        <v>109</v>
      </c>
      <c r="E547" s="298">
        <v>0.42</v>
      </c>
      <c r="F547" s="298"/>
      <c r="G547" s="105">
        <f t="shared" ref="G547:G551" si="75">F547*E547</f>
        <v>0</v>
      </c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" customHeight="1">
      <c r="A548" s="97">
        <v>2</v>
      </c>
      <c r="B548" s="97"/>
      <c r="C548" s="97" t="s">
        <v>51</v>
      </c>
      <c r="D548" s="103" t="s">
        <v>112</v>
      </c>
      <c r="E548" s="298">
        <v>0.42</v>
      </c>
      <c r="F548" s="298"/>
      <c r="G548" s="105">
        <f t="shared" si="75"/>
        <v>0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" customHeight="1">
      <c r="A549" s="97">
        <v>3</v>
      </c>
      <c r="B549" s="97"/>
      <c r="C549" s="97" t="s">
        <v>70</v>
      </c>
      <c r="D549" s="103" t="s">
        <v>499</v>
      </c>
      <c r="E549" s="298">
        <v>1</v>
      </c>
      <c r="F549" s="298"/>
      <c r="G549" s="105">
        <f t="shared" si="75"/>
        <v>0</v>
      </c>
      <c r="H549" s="140"/>
      <c r="I549" s="31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" customHeight="1">
      <c r="A550" s="97">
        <v>4</v>
      </c>
      <c r="B550" s="97"/>
      <c r="C550" s="97" t="s">
        <v>121</v>
      </c>
      <c r="D550" s="163" t="s">
        <v>500</v>
      </c>
      <c r="E550" s="298">
        <v>0.01</v>
      </c>
      <c r="F550" s="298"/>
      <c r="G550" s="105">
        <f t="shared" si="75"/>
        <v>0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2.75" customHeight="1">
      <c r="A551" s="148"/>
      <c r="B551" s="148"/>
      <c r="C551" s="148"/>
      <c r="D551" s="151" t="s">
        <v>132</v>
      </c>
      <c r="E551" s="152">
        <v>1</v>
      </c>
      <c r="F551" s="152">
        <f>SUM(G547:G550)</f>
        <v>0</v>
      </c>
      <c r="G551" s="152">
        <f t="shared" si="75"/>
        <v>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2.75" customHeight="1">
      <c r="A552" s="154"/>
      <c r="B552" s="155"/>
      <c r="C552" s="156"/>
      <c r="D552" s="157"/>
      <c r="E552" s="158"/>
      <c r="F552" s="158"/>
      <c r="G552" s="158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25.5" customHeight="1">
      <c r="A553" s="97" t="s">
        <v>503</v>
      </c>
      <c r="B553" s="144" t="s">
        <v>106</v>
      </c>
      <c r="C553" s="97"/>
      <c r="D553" s="103" t="s">
        <v>504</v>
      </c>
      <c r="E553" s="105"/>
      <c r="F553" s="298"/>
      <c r="G553" s="105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" customHeight="1">
      <c r="A554" s="97">
        <v>1</v>
      </c>
      <c r="B554" s="97"/>
      <c r="C554" s="97" t="s">
        <v>51</v>
      </c>
      <c r="D554" s="103" t="s">
        <v>113</v>
      </c>
      <c r="E554" s="298">
        <v>0.4</v>
      </c>
      <c r="F554" s="298"/>
      <c r="G554" s="348">
        <f t="shared" ref="G554:G557" si="76">F554*E554</f>
        <v>0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" customHeight="1">
      <c r="A555" s="97">
        <v>2</v>
      </c>
      <c r="B555" s="97"/>
      <c r="C555" s="97" t="s">
        <v>51</v>
      </c>
      <c r="D555" s="103" t="s">
        <v>112</v>
      </c>
      <c r="E555" s="298">
        <v>0.4</v>
      </c>
      <c r="F555" s="298"/>
      <c r="G555" s="348">
        <f t="shared" si="76"/>
        <v>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" customHeight="1">
      <c r="A556" s="97">
        <v>3</v>
      </c>
      <c r="B556" s="97"/>
      <c r="C556" s="97" t="s">
        <v>121</v>
      </c>
      <c r="D556" s="103" t="s">
        <v>168</v>
      </c>
      <c r="E556" s="390">
        <v>0.05</v>
      </c>
      <c r="F556" s="298"/>
      <c r="G556" s="348">
        <f t="shared" si="76"/>
        <v>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" customHeight="1">
      <c r="A557" s="97">
        <v>4</v>
      </c>
      <c r="B557" s="97"/>
      <c r="C557" s="97" t="s">
        <v>70</v>
      </c>
      <c r="D557" s="103" t="s">
        <v>506</v>
      </c>
      <c r="E557" s="390">
        <v>0.66</v>
      </c>
      <c r="F557" s="298"/>
      <c r="G557" s="348">
        <f t="shared" si="76"/>
        <v>0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2.75" customHeight="1">
      <c r="A558" s="97"/>
      <c r="B558" s="97"/>
      <c r="C558" s="97"/>
      <c r="D558" s="151" t="s">
        <v>132</v>
      </c>
      <c r="E558" s="152">
        <v>1</v>
      </c>
      <c r="F558" s="152">
        <f>SUM(G554:G557)</f>
        <v>0</v>
      </c>
      <c r="G558" s="152">
        <f>ROUND(E558*F558,2)</f>
        <v>0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2.75" customHeight="1">
      <c r="A559" s="154"/>
      <c r="B559" s="155"/>
      <c r="C559" s="156"/>
      <c r="D559" s="157"/>
      <c r="E559" s="158"/>
      <c r="F559" s="158"/>
      <c r="G559" s="158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" customHeight="1">
      <c r="A560" s="97" t="s">
        <v>509</v>
      </c>
      <c r="B560" s="144" t="s">
        <v>106</v>
      </c>
      <c r="C560" s="97"/>
      <c r="D560" s="103" t="s">
        <v>510</v>
      </c>
      <c r="E560" s="105"/>
      <c r="F560" s="298"/>
      <c r="G560" s="105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" customHeight="1">
      <c r="A561" s="97">
        <v>1</v>
      </c>
      <c r="B561" s="97"/>
      <c r="C561" s="97" t="s">
        <v>51</v>
      </c>
      <c r="D561" s="103" t="s">
        <v>113</v>
      </c>
      <c r="E561" s="298">
        <v>0.35</v>
      </c>
      <c r="F561" s="298"/>
      <c r="G561" s="348">
        <f t="shared" ref="G561:G563" si="77">F561*E561</f>
        <v>0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" customHeight="1">
      <c r="A562" s="97">
        <v>2</v>
      </c>
      <c r="B562" s="97"/>
      <c r="C562" s="97" t="s">
        <v>51</v>
      </c>
      <c r="D562" s="103" t="s">
        <v>112</v>
      </c>
      <c r="E562" s="298">
        <v>0.35</v>
      </c>
      <c r="F562" s="298"/>
      <c r="G562" s="348">
        <f t="shared" si="77"/>
        <v>0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" customHeight="1">
      <c r="A563" s="97">
        <v>3</v>
      </c>
      <c r="B563" s="97"/>
      <c r="C563" s="97" t="s">
        <v>121</v>
      </c>
      <c r="D563" s="103" t="s">
        <v>168</v>
      </c>
      <c r="E563" s="390">
        <v>0.4</v>
      </c>
      <c r="F563" s="298"/>
      <c r="G563" s="348">
        <f t="shared" si="77"/>
        <v>0</v>
      </c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2.75" customHeight="1">
      <c r="A564" s="97"/>
      <c r="B564" s="97"/>
      <c r="C564" s="97"/>
      <c r="D564" s="151" t="s">
        <v>132</v>
      </c>
      <c r="E564" s="152">
        <v>1</v>
      </c>
      <c r="F564" s="152">
        <f>SUM(G561:G563)</f>
        <v>0</v>
      </c>
      <c r="G564" s="152">
        <f>ROUND(E564*F564,2)</f>
        <v>0</v>
      </c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2.75" customHeight="1">
      <c r="A565" s="154"/>
      <c r="B565" s="155"/>
      <c r="C565" s="156"/>
      <c r="D565" s="157"/>
      <c r="E565" s="158"/>
      <c r="F565" s="158"/>
      <c r="G565" s="158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" customHeight="1">
      <c r="A566" s="97" t="s">
        <v>513</v>
      </c>
      <c r="B566" s="144" t="s">
        <v>106</v>
      </c>
      <c r="C566" s="97" t="s">
        <v>125</v>
      </c>
      <c r="D566" s="103" t="s">
        <v>514</v>
      </c>
      <c r="E566" s="105"/>
      <c r="F566" s="298"/>
      <c r="G566" s="105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" customHeight="1">
      <c r="A567" s="97">
        <v>1</v>
      </c>
      <c r="B567" s="97"/>
      <c r="C567" s="97" t="s">
        <v>51</v>
      </c>
      <c r="D567" s="103" t="s">
        <v>113</v>
      </c>
      <c r="E567" s="298">
        <v>0.55000000000000004</v>
      </c>
      <c r="F567" s="298"/>
      <c r="G567" s="348">
        <f t="shared" ref="G567:G572" si="78">F567*E567</f>
        <v>0</v>
      </c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" customHeight="1">
      <c r="A568" s="97">
        <v>2</v>
      </c>
      <c r="B568" s="97"/>
      <c r="C568" s="97" t="s">
        <v>51</v>
      </c>
      <c r="D568" s="103" t="s">
        <v>112</v>
      </c>
      <c r="E568" s="298">
        <v>0.55000000000000004</v>
      </c>
      <c r="F568" s="298"/>
      <c r="G568" s="348">
        <f t="shared" si="78"/>
        <v>0</v>
      </c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25.5" customHeight="1">
      <c r="A569" s="97">
        <v>3</v>
      </c>
      <c r="B569" s="97"/>
      <c r="C569" s="97" t="s">
        <v>125</v>
      </c>
      <c r="D569" s="103" t="s">
        <v>181</v>
      </c>
      <c r="E569" s="390">
        <v>0.55000000000000004</v>
      </c>
      <c r="F569" s="298"/>
      <c r="G569" s="348">
        <f t="shared" si="78"/>
        <v>0</v>
      </c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25.5" customHeight="1">
      <c r="A570" s="97">
        <v>4</v>
      </c>
      <c r="B570" s="97"/>
      <c r="C570" s="97" t="s">
        <v>125</v>
      </c>
      <c r="D570" s="103" t="s">
        <v>516</v>
      </c>
      <c r="E570" s="390">
        <v>1</v>
      </c>
      <c r="F570" s="298"/>
      <c r="G570" s="348">
        <f t="shared" si="78"/>
        <v>0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" customHeight="1">
      <c r="A571" s="97">
        <v>5</v>
      </c>
      <c r="B571" s="97"/>
      <c r="C571" s="97" t="s">
        <v>121</v>
      </c>
      <c r="D571" s="103" t="s">
        <v>168</v>
      </c>
      <c r="E571" s="390">
        <v>0.05</v>
      </c>
      <c r="F571" s="298"/>
      <c r="G571" s="348">
        <f t="shared" si="78"/>
        <v>0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38.25" customHeight="1">
      <c r="A572" s="148">
        <v>6</v>
      </c>
      <c r="B572" s="148"/>
      <c r="C572" s="148" t="s">
        <v>60</v>
      </c>
      <c r="D572" s="103" t="s">
        <v>183</v>
      </c>
      <c r="E572" s="298">
        <v>0.05</v>
      </c>
      <c r="F572" s="125"/>
      <c r="G572" s="125">
        <f t="shared" si="78"/>
        <v>0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2.75" customHeight="1">
      <c r="A573" s="96"/>
      <c r="B573" s="398"/>
      <c r="C573" s="98"/>
      <c r="D573" s="151" t="s">
        <v>132</v>
      </c>
      <c r="E573" s="152">
        <v>1</v>
      </c>
      <c r="F573" s="152">
        <f>SUM(G567:G572)</f>
        <v>0</v>
      </c>
      <c r="G573" s="152">
        <f>ROUND(E573*F573,2)</f>
        <v>0</v>
      </c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2.75" customHeight="1">
      <c r="A574" s="154"/>
      <c r="B574" s="155"/>
      <c r="C574" s="156"/>
      <c r="D574" s="157"/>
      <c r="E574" s="158"/>
      <c r="F574" s="158"/>
      <c r="G574" s="158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25.5" customHeight="1">
      <c r="A575" s="97" t="s">
        <v>518</v>
      </c>
      <c r="B575" s="144" t="s">
        <v>106</v>
      </c>
      <c r="C575" s="97"/>
      <c r="D575" s="103" t="s">
        <v>519</v>
      </c>
      <c r="E575" s="105"/>
      <c r="F575" s="298"/>
      <c r="G575" s="105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25.5" customHeight="1">
      <c r="A576" s="97">
        <v>1</v>
      </c>
      <c r="B576" s="97"/>
      <c r="C576" s="97" t="s">
        <v>51</v>
      </c>
      <c r="D576" s="103" t="s">
        <v>113</v>
      </c>
      <c r="E576" s="298">
        <v>0.55000000000000004</v>
      </c>
      <c r="F576" s="298"/>
      <c r="G576" s="348">
        <f t="shared" ref="G576:G580" si="79">F576*E576</f>
        <v>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25.5" customHeight="1">
      <c r="A577" s="97">
        <v>2</v>
      </c>
      <c r="B577" s="97"/>
      <c r="C577" s="97" t="s">
        <v>51</v>
      </c>
      <c r="D577" s="103" t="s">
        <v>112</v>
      </c>
      <c r="E577" s="298">
        <v>0.55000000000000004</v>
      </c>
      <c r="F577" s="298"/>
      <c r="G577" s="348">
        <f t="shared" si="79"/>
        <v>0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25.5" customHeight="1">
      <c r="A578" s="97">
        <v>3</v>
      </c>
      <c r="B578" s="97"/>
      <c r="C578" s="97" t="s">
        <v>125</v>
      </c>
      <c r="D578" s="103" t="s">
        <v>181</v>
      </c>
      <c r="E578" s="390">
        <v>0.55000000000000004</v>
      </c>
      <c r="F578" s="298"/>
      <c r="G578" s="348">
        <f t="shared" si="79"/>
        <v>0</v>
      </c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25.5" customHeight="1">
      <c r="A579" s="97">
        <v>4</v>
      </c>
      <c r="B579" s="97"/>
      <c r="C579" s="97" t="s">
        <v>121</v>
      </c>
      <c r="D579" s="103" t="s">
        <v>168</v>
      </c>
      <c r="E579" s="390">
        <v>0.05</v>
      </c>
      <c r="F579" s="298"/>
      <c r="G579" s="348">
        <f t="shared" si="79"/>
        <v>0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25.5" customHeight="1">
      <c r="A580" s="148">
        <v>5</v>
      </c>
      <c r="B580" s="148"/>
      <c r="C580" s="148" t="s">
        <v>60</v>
      </c>
      <c r="D580" s="103" t="s">
        <v>183</v>
      </c>
      <c r="E580" s="298">
        <v>0.05</v>
      </c>
      <c r="F580" s="125"/>
      <c r="G580" s="125">
        <f t="shared" si="79"/>
        <v>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25.5" customHeight="1">
      <c r="A581" s="97"/>
      <c r="B581" s="97"/>
      <c r="C581" s="97"/>
      <c r="D581" s="151" t="s">
        <v>132</v>
      </c>
      <c r="E581" s="152">
        <v>1</v>
      </c>
      <c r="F581" s="152">
        <f>SUM(G575:G580)</f>
        <v>0</v>
      </c>
      <c r="G581" s="152">
        <f>ROUND(E581*F581,2)</f>
        <v>0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" customHeight="1">
      <c r="A582" s="154"/>
      <c r="B582" s="155"/>
      <c r="C582" s="156"/>
      <c r="D582" s="157"/>
      <c r="E582" s="158"/>
      <c r="F582" s="158"/>
      <c r="G582" s="158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25.5" customHeight="1">
      <c r="A583" s="133" t="s">
        <v>520</v>
      </c>
      <c r="B583" s="144" t="s">
        <v>106</v>
      </c>
      <c r="C583" s="97" t="s">
        <v>125</v>
      </c>
      <c r="D583" s="103" t="s">
        <v>521</v>
      </c>
      <c r="E583" s="105"/>
      <c r="F583" s="298"/>
      <c r="G583" s="105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25.5" customHeight="1">
      <c r="A584" s="133">
        <v>1</v>
      </c>
      <c r="B584" s="97"/>
      <c r="C584" s="97" t="s">
        <v>51</v>
      </c>
      <c r="D584" s="103" t="s">
        <v>113</v>
      </c>
      <c r="E584" s="298">
        <v>0.55000000000000004</v>
      </c>
      <c r="F584" s="298"/>
      <c r="G584" s="348">
        <f t="shared" ref="G584:G593" si="80">F584*E584</f>
        <v>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25.5" customHeight="1">
      <c r="A585" s="133">
        <v>2</v>
      </c>
      <c r="B585" s="97"/>
      <c r="C585" s="97" t="s">
        <v>51</v>
      </c>
      <c r="D585" s="103" t="s">
        <v>112</v>
      </c>
      <c r="E585" s="298">
        <v>1</v>
      </c>
      <c r="F585" s="298"/>
      <c r="G585" s="348">
        <f t="shared" si="80"/>
        <v>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25.5" customHeight="1">
      <c r="A586" s="133">
        <v>3</v>
      </c>
      <c r="B586" s="97"/>
      <c r="C586" s="97" t="s">
        <v>51</v>
      </c>
      <c r="D586" s="307" t="s">
        <v>175</v>
      </c>
      <c r="E586" s="298">
        <v>1</v>
      </c>
      <c r="F586" s="298"/>
      <c r="G586" s="348">
        <f t="shared" si="80"/>
        <v>0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25.5" customHeight="1">
      <c r="A587" s="133">
        <v>4</v>
      </c>
      <c r="B587" s="97"/>
      <c r="C587" s="97" t="s">
        <v>125</v>
      </c>
      <c r="D587" s="103" t="s">
        <v>181</v>
      </c>
      <c r="E587" s="390">
        <v>0.55000000000000004</v>
      </c>
      <c r="F587" s="298"/>
      <c r="G587" s="348">
        <f t="shared" si="80"/>
        <v>0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25.5" customHeight="1">
      <c r="A588" s="133">
        <v>5</v>
      </c>
      <c r="B588" s="97"/>
      <c r="C588" s="97" t="s">
        <v>45</v>
      </c>
      <c r="D588" s="103" t="s">
        <v>523</v>
      </c>
      <c r="E588" s="390">
        <v>1</v>
      </c>
      <c r="F588" s="298"/>
      <c r="G588" s="348">
        <f t="shared" si="80"/>
        <v>0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25.5" customHeight="1">
      <c r="A589" s="133">
        <v>6</v>
      </c>
      <c r="B589" s="97"/>
      <c r="C589" s="97" t="s">
        <v>45</v>
      </c>
      <c r="D589" s="103" t="s">
        <v>524</v>
      </c>
      <c r="E589" s="390">
        <v>1</v>
      </c>
      <c r="F589" s="298"/>
      <c r="G589" s="348">
        <f t="shared" si="80"/>
        <v>0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25.5" customHeight="1">
      <c r="A590" s="133">
        <v>7</v>
      </c>
      <c r="B590" s="97"/>
      <c r="C590" s="97" t="s">
        <v>45</v>
      </c>
      <c r="D590" s="103" t="s">
        <v>180</v>
      </c>
      <c r="E590" s="390">
        <v>2</v>
      </c>
      <c r="F590" s="298"/>
      <c r="G590" s="348">
        <f t="shared" si="80"/>
        <v>0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25.5" customHeight="1">
      <c r="A591" s="133">
        <v>8</v>
      </c>
      <c r="B591" s="97"/>
      <c r="C591" s="97" t="s">
        <v>125</v>
      </c>
      <c r="D591" s="307" t="s">
        <v>176</v>
      </c>
      <c r="E591" s="400">
        <v>7.5999999999999998E-2</v>
      </c>
      <c r="F591" s="298"/>
      <c r="G591" s="348">
        <f t="shared" si="80"/>
        <v>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25.5" customHeight="1">
      <c r="A592" s="133">
        <v>9</v>
      </c>
      <c r="B592" s="97"/>
      <c r="C592" s="97" t="s">
        <v>121</v>
      </c>
      <c r="D592" s="103" t="s">
        <v>168</v>
      </c>
      <c r="E592" s="390">
        <v>0.05</v>
      </c>
      <c r="F592" s="298"/>
      <c r="G592" s="348">
        <f t="shared" si="80"/>
        <v>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25.5" customHeight="1">
      <c r="A593" s="133">
        <v>10</v>
      </c>
      <c r="B593" s="148"/>
      <c r="C593" s="148" t="s">
        <v>60</v>
      </c>
      <c r="D593" s="103" t="s">
        <v>183</v>
      </c>
      <c r="E593" s="298">
        <v>0.05</v>
      </c>
      <c r="F593" s="125"/>
      <c r="G593" s="125">
        <f t="shared" si="80"/>
        <v>0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25.5" customHeight="1">
      <c r="A594" s="133"/>
      <c r="B594" s="97"/>
      <c r="C594" s="97"/>
      <c r="D594" s="151" t="s">
        <v>132</v>
      </c>
      <c r="E594" s="152">
        <v>1</v>
      </c>
      <c r="F594" s="152">
        <f>SUM(G584:G593)</f>
        <v>0</v>
      </c>
      <c r="G594" s="152">
        <f>ROUND(E594*F594,2)</f>
        <v>0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3.5" customHeight="1">
      <c r="A595" s="154"/>
      <c r="B595" s="155"/>
      <c r="C595" s="156"/>
      <c r="D595" s="404"/>
      <c r="E595" s="405"/>
      <c r="F595" s="406"/>
      <c r="G595" s="405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25.5" customHeight="1">
      <c r="A596" s="97" t="s">
        <v>527</v>
      </c>
      <c r="B596" s="407" t="s">
        <v>106</v>
      </c>
      <c r="C596" s="192" t="s">
        <v>125</v>
      </c>
      <c r="D596" s="188" t="s">
        <v>528</v>
      </c>
      <c r="E596" s="408"/>
      <c r="F596" s="409"/>
      <c r="G596" s="408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" customHeight="1">
      <c r="A597" s="97">
        <v>1</v>
      </c>
      <c r="B597" s="192"/>
      <c r="C597" s="192" t="s">
        <v>51</v>
      </c>
      <c r="D597" s="188" t="s">
        <v>113</v>
      </c>
      <c r="E597" s="409">
        <v>0.3</v>
      </c>
      <c r="F597" s="409"/>
      <c r="G597" s="410">
        <f t="shared" ref="G597:G599" si="81">F597*E597</f>
        <v>0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" customHeight="1">
      <c r="A598" s="97">
        <v>2</v>
      </c>
      <c r="B598" s="192"/>
      <c r="C598" s="192" t="s">
        <v>51</v>
      </c>
      <c r="D598" s="188" t="s">
        <v>112</v>
      </c>
      <c r="E598" s="409">
        <v>0.2</v>
      </c>
      <c r="F598" s="409"/>
      <c r="G598" s="410">
        <f t="shared" si="81"/>
        <v>0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" customHeight="1">
      <c r="A599" s="97">
        <v>3</v>
      </c>
      <c r="B599" s="192"/>
      <c r="C599" s="192" t="s">
        <v>121</v>
      </c>
      <c r="D599" s="188" t="s">
        <v>168</v>
      </c>
      <c r="E599" s="411">
        <v>0.1</v>
      </c>
      <c r="F599" s="409"/>
      <c r="G599" s="410">
        <f t="shared" si="81"/>
        <v>0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25.5" customHeight="1">
      <c r="A600" s="97">
        <v>4</v>
      </c>
      <c r="B600" s="192"/>
      <c r="C600" s="412" t="s">
        <v>125</v>
      </c>
      <c r="D600" s="188" t="s">
        <v>531</v>
      </c>
      <c r="E600" s="409">
        <v>1</v>
      </c>
      <c r="F600" s="409"/>
      <c r="G600" s="408">
        <f>ROUND(E600*F600,2)</f>
        <v>0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" customHeight="1">
      <c r="A601" s="97">
        <v>5</v>
      </c>
      <c r="B601" s="412"/>
      <c r="C601" s="412" t="s">
        <v>125</v>
      </c>
      <c r="D601" s="413" t="s">
        <v>291</v>
      </c>
      <c r="E601" s="414">
        <v>1</v>
      </c>
      <c r="F601" s="415"/>
      <c r="G601" s="408">
        <f>F601*E601</f>
        <v>0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2.75" customHeight="1">
      <c r="A602" s="163"/>
      <c r="B602" s="416"/>
      <c r="C602" s="192"/>
      <c r="D602" s="215" t="s">
        <v>132</v>
      </c>
      <c r="E602" s="218">
        <v>1</v>
      </c>
      <c r="F602" s="218">
        <f>SUM(G597:G601)</f>
        <v>0</v>
      </c>
      <c r="G602" s="218">
        <f>ROUND(E602*F602,2)</f>
        <v>0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2.75" customHeight="1">
      <c r="A603" s="154"/>
      <c r="B603" s="155"/>
      <c r="C603" s="156"/>
      <c r="D603" s="157"/>
      <c r="E603" s="158"/>
      <c r="F603" s="158"/>
      <c r="G603" s="158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25.5" customHeight="1">
      <c r="A604" s="97" t="s">
        <v>537</v>
      </c>
      <c r="B604" s="144" t="s">
        <v>106</v>
      </c>
      <c r="C604" s="97" t="s">
        <v>60</v>
      </c>
      <c r="D604" s="103" t="str">
        <f>Sintetico!D753</f>
        <v>INSTALAÇÃO DE PERFIL METALICO 1,50 CM PARA BOCEL CONFORME PROJETO E NORMAS</v>
      </c>
      <c r="E604" s="105"/>
      <c r="F604" s="298"/>
      <c r="G604" s="105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25.5" customHeight="1">
      <c r="A605" s="97">
        <v>1</v>
      </c>
      <c r="B605" s="97"/>
      <c r="C605" s="97" t="s">
        <v>51</v>
      </c>
      <c r="D605" s="103" t="s">
        <v>109</v>
      </c>
      <c r="E605" s="298">
        <v>0.6</v>
      </c>
      <c r="F605" s="298"/>
      <c r="G605" s="348">
        <f t="shared" ref="G605:G606" si="82">F605*E605</f>
        <v>0</v>
      </c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25.5" customHeight="1">
      <c r="A606" s="97">
        <v>2</v>
      </c>
      <c r="B606" s="97"/>
      <c r="C606" s="97" t="s">
        <v>51</v>
      </c>
      <c r="D606" s="103" t="s">
        <v>112</v>
      </c>
      <c r="E606" s="298">
        <v>0.6</v>
      </c>
      <c r="F606" s="298"/>
      <c r="G606" s="348">
        <f t="shared" si="82"/>
        <v>0</v>
      </c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25.5" customHeight="1">
      <c r="A607" s="97"/>
      <c r="B607" s="97"/>
      <c r="C607" s="97"/>
      <c r="D607" s="151" t="s">
        <v>132</v>
      </c>
      <c r="E607" s="152">
        <v>1</v>
      </c>
      <c r="F607" s="152">
        <f>SUM(G604:G606)</f>
        <v>0</v>
      </c>
      <c r="G607" s="152">
        <f>ROUND(E607*F607,2)</f>
        <v>0</v>
      </c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6.5" customHeight="1">
      <c r="A608" s="154"/>
      <c r="B608" s="155"/>
      <c r="C608" s="156"/>
      <c r="D608" s="157"/>
      <c r="E608" s="158"/>
      <c r="F608" s="158"/>
      <c r="G608" s="158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53.25" hidden="1" customHeight="1">
      <c r="A609" s="97" t="e">
        <f>#REF!</f>
        <v>#REF!</v>
      </c>
      <c r="B609" s="144" t="s">
        <v>106</v>
      </c>
      <c r="C609" s="97" t="s">
        <v>60</v>
      </c>
      <c r="D609" s="103" t="e">
        <f>#REF!</f>
        <v>#REF!</v>
      </c>
      <c r="E609" s="105"/>
      <c r="F609" s="298"/>
      <c r="G609" s="105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25.5" hidden="1" customHeight="1">
      <c r="A610" s="97">
        <v>1</v>
      </c>
      <c r="B610" s="97">
        <v>40536</v>
      </c>
      <c r="C610" s="97" t="s">
        <v>121</v>
      </c>
      <c r="D610" s="103" t="s">
        <v>543</v>
      </c>
      <c r="E610" s="298">
        <v>5.93</v>
      </c>
      <c r="F610" s="298">
        <v>6.3</v>
      </c>
      <c r="G610" s="348">
        <f t="shared" ref="G610:G613" si="83">F610*E610</f>
        <v>37.358999999999995</v>
      </c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25.5" hidden="1" customHeight="1">
      <c r="A611" s="97">
        <v>2</v>
      </c>
      <c r="B611" s="97">
        <v>10998</v>
      </c>
      <c r="C611" s="97" t="s">
        <v>121</v>
      </c>
      <c r="D611" s="103" t="s">
        <v>545</v>
      </c>
      <c r="E611" s="298">
        <v>1</v>
      </c>
      <c r="F611" s="298">
        <v>18.760000000000002</v>
      </c>
      <c r="G611" s="348">
        <f t="shared" si="83"/>
        <v>18.760000000000002</v>
      </c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25.5" hidden="1" customHeight="1">
      <c r="A612" s="97">
        <v>3</v>
      </c>
      <c r="B612" s="97">
        <v>88315</v>
      </c>
      <c r="C612" s="97" t="s">
        <v>51</v>
      </c>
      <c r="D612" s="103" t="s">
        <v>109</v>
      </c>
      <c r="E612" s="298">
        <v>0.5</v>
      </c>
      <c r="F612" s="298">
        <v>22.15</v>
      </c>
      <c r="G612" s="348">
        <f t="shared" si="83"/>
        <v>11.074999999999999</v>
      </c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25.5" hidden="1" customHeight="1">
      <c r="A613" s="97">
        <v>4</v>
      </c>
      <c r="B613" s="97">
        <v>88316</v>
      </c>
      <c r="C613" s="97" t="s">
        <v>51</v>
      </c>
      <c r="D613" s="103" t="s">
        <v>112</v>
      </c>
      <c r="E613" s="298">
        <v>0.5</v>
      </c>
      <c r="F613" s="298">
        <v>16.329999999999998</v>
      </c>
      <c r="G613" s="348">
        <f t="shared" si="83"/>
        <v>8.1649999999999991</v>
      </c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25.5" hidden="1" customHeight="1">
      <c r="A614" s="97"/>
      <c r="B614" s="97"/>
      <c r="C614" s="97"/>
      <c r="D614" s="151" t="s">
        <v>132</v>
      </c>
      <c r="E614" s="152">
        <v>1</v>
      </c>
      <c r="F614" s="152">
        <f>SUM(G610:G613)</f>
        <v>75.359000000000009</v>
      </c>
      <c r="G614" s="152">
        <f>ROUND(E614*F614,2)</f>
        <v>75.36</v>
      </c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2.75" hidden="1" customHeight="1">
      <c r="A615" s="154"/>
      <c r="B615" s="155"/>
      <c r="C615" s="156"/>
      <c r="D615" s="404"/>
      <c r="E615" s="405"/>
      <c r="F615" s="406"/>
      <c r="G615" s="405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45" hidden="1" customHeight="1">
      <c r="A616" s="97" t="e">
        <f>#REF!</f>
        <v>#REF!</v>
      </c>
      <c r="B616" s="144" t="s">
        <v>106</v>
      </c>
      <c r="C616" s="97" t="e">
        <f t="shared" ref="C616:D616" si="84">#REF!</f>
        <v>#REF!</v>
      </c>
      <c r="D616" s="103" t="e">
        <f t="shared" si="84"/>
        <v>#REF!</v>
      </c>
      <c r="E616" s="105"/>
      <c r="F616" s="298"/>
      <c r="G616" s="105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30.75" hidden="1" customHeight="1">
      <c r="A617" s="97">
        <v>1</v>
      </c>
      <c r="B617" s="97" t="s">
        <v>547</v>
      </c>
      <c r="C617" s="97" t="s">
        <v>121</v>
      </c>
      <c r="D617" s="103" t="s">
        <v>548</v>
      </c>
      <c r="E617" s="105">
        <v>38</v>
      </c>
      <c r="F617" s="298">
        <v>7.42</v>
      </c>
      <c r="G617" s="105">
        <f t="shared" ref="G617:G620" si="85">F617*E617</f>
        <v>281.95999999999998</v>
      </c>
      <c r="H617" s="306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8" hidden="1" customHeight="1">
      <c r="A618" s="97">
        <v>2</v>
      </c>
      <c r="B618" s="97">
        <v>10998</v>
      </c>
      <c r="C618" s="97" t="s">
        <v>121</v>
      </c>
      <c r="D618" s="103" t="s">
        <v>549</v>
      </c>
      <c r="E618" s="298">
        <v>0.19</v>
      </c>
      <c r="F618" s="298">
        <v>18.760000000000002</v>
      </c>
      <c r="G618" s="348">
        <f t="shared" si="85"/>
        <v>3.5644000000000005</v>
      </c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8" hidden="1" customHeight="1">
      <c r="A619" s="97">
        <v>3</v>
      </c>
      <c r="B619" s="97">
        <v>88315</v>
      </c>
      <c r="C619" s="97" t="s">
        <v>51</v>
      </c>
      <c r="D619" s="103" t="s">
        <v>109</v>
      </c>
      <c r="E619" s="298">
        <v>0.9</v>
      </c>
      <c r="F619" s="298">
        <v>22.15</v>
      </c>
      <c r="G619" s="348">
        <f t="shared" si="85"/>
        <v>19.934999999999999</v>
      </c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8" hidden="1" customHeight="1">
      <c r="A620" s="97">
        <v>4</v>
      </c>
      <c r="B620" s="97">
        <v>88316</v>
      </c>
      <c r="C620" s="97" t="s">
        <v>51</v>
      </c>
      <c r="D620" s="103" t="s">
        <v>112</v>
      </c>
      <c r="E620" s="298">
        <v>0.9</v>
      </c>
      <c r="F620" s="298">
        <v>16.329999999999998</v>
      </c>
      <c r="G620" s="348">
        <f t="shared" si="85"/>
        <v>14.696999999999999</v>
      </c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8" hidden="1" customHeight="1">
      <c r="A621" s="163"/>
      <c r="B621" s="102"/>
      <c r="C621" s="97"/>
      <c r="D621" s="151" t="s">
        <v>132</v>
      </c>
      <c r="E621" s="152">
        <v>1</v>
      </c>
      <c r="F621" s="152">
        <f>SUM(G617:G620)</f>
        <v>320.15639999999996</v>
      </c>
      <c r="G621" s="152">
        <f>ROUND(E621*F621,2)</f>
        <v>320.16000000000003</v>
      </c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2.75" hidden="1" customHeight="1">
      <c r="A622" s="154"/>
      <c r="B622" s="155"/>
      <c r="C622" s="156"/>
      <c r="D622" s="157"/>
      <c r="E622" s="158"/>
      <c r="F622" s="158"/>
      <c r="G622" s="158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30" hidden="1" customHeight="1">
      <c r="A623" s="97" t="e">
        <f>#REF!</f>
        <v>#REF!</v>
      </c>
      <c r="B623" s="144" t="s">
        <v>106</v>
      </c>
      <c r="C623" s="97" t="s">
        <v>125</v>
      </c>
      <c r="D623" s="99" t="e">
        <f>#REF!</f>
        <v>#REF!</v>
      </c>
      <c r="E623" s="105"/>
      <c r="F623" s="298"/>
      <c r="G623" s="105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8" hidden="1" customHeight="1">
      <c r="A624" s="97">
        <v>1</v>
      </c>
      <c r="B624" s="97" t="s">
        <v>547</v>
      </c>
      <c r="C624" s="97" t="s">
        <v>121</v>
      </c>
      <c r="D624" s="103" t="s">
        <v>548</v>
      </c>
      <c r="E624" s="105">
        <v>38</v>
      </c>
      <c r="F624" s="298">
        <v>7.42</v>
      </c>
      <c r="G624" s="105">
        <f t="shared" ref="G624:G627" si="86">F624*E624</f>
        <v>281.95999999999998</v>
      </c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8" hidden="1" customHeight="1">
      <c r="A625" s="97">
        <v>2</v>
      </c>
      <c r="B625" s="97">
        <v>10998</v>
      </c>
      <c r="C625" s="97" t="s">
        <v>121</v>
      </c>
      <c r="D625" s="103" t="s">
        <v>549</v>
      </c>
      <c r="E625" s="298">
        <v>0.25</v>
      </c>
      <c r="F625" s="298">
        <v>18.760000000000002</v>
      </c>
      <c r="G625" s="348">
        <f t="shared" si="86"/>
        <v>4.6900000000000004</v>
      </c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8" hidden="1" customHeight="1">
      <c r="A626" s="97">
        <v>3</v>
      </c>
      <c r="B626" s="97">
        <v>88315</v>
      </c>
      <c r="C626" s="97" t="s">
        <v>51</v>
      </c>
      <c r="D626" s="103" t="s">
        <v>109</v>
      </c>
      <c r="E626" s="298">
        <v>0.9</v>
      </c>
      <c r="F626" s="298">
        <v>22.15</v>
      </c>
      <c r="G626" s="348">
        <f t="shared" si="86"/>
        <v>19.934999999999999</v>
      </c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8" hidden="1" customHeight="1">
      <c r="A627" s="97">
        <v>4</v>
      </c>
      <c r="B627" s="97">
        <v>88316</v>
      </c>
      <c r="C627" s="97" t="s">
        <v>51</v>
      </c>
      <c r="D627" s="103" t="s">
        <v>112</v>
      </c>
      <c r="E627" s="298">
        <v>0.9</v>
      </c>
      <c r="F627" s="298">
        <v>16.329999999999998</v>
      </c>
      <c r="G627" s="348">
        <f t="shared" si="86"/>
        <v>14.696999999999999</v>
      </c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8" hidden="1" customHeight="1">
      <c r="A628" s="163"/>
      <c r="B628" s="102"/>
      <c r="C628" s="97"/>
      <c r="D628" s="151" t="s">
        <v>132</v>
      </c>
      <c r="E628" s="152">
        <v>1</v>
      </c>
      <c r="F628" s="152">
        <f>SUM(G624:G627)</f>
        <v>321.28199999999998</v>
      </c>
      <c r="G628" s="152">
        <f>ROUND(E628*F628,2)</f>
        <v>321.27999999999997</v>
      </c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2.75" customHeight="1">
      <c r="A629" s="154"/>
      <c r="B629" s="155"/>
      <c r="C629" s="156"/>
      <c r="D629" s="157"/>
      <c r="E629" s="158"/>
      <c r="F629" s="158"/>
      <c r="G629" s="158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30" customHeight="1">
      <c r="A630" s="97" t="str">
        <f>Sintetico!B764</f>
        <v>C060.5</v>
      </c>
      <c r="B630" s="144" t="s">
        <v>106</v>
      </c>
      <c r="C630" s="97" t="s">
        <v>125</v>
      </c>
      <c r="D630" s="103" t="str">
        <f>Sintetico!D764</f>
        <v>ADEQUAÇÃO DO VÃO DA PORTA CORTA FOGO, INCLUINDO REMOÇÃO DA PORTA EXISTENTE, FECHAMENTO DE ALVENARIA, REQUAÇÃO E PINTURA</v>
      </c>
      <c r="E630" s="105"/>
      <c r="F630" s="298"/>
      <c r="G630" s="105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34.5" customHeight="1">
      <c r="A631" s="97">
        <v>1</v>
      </c>
      <c r="B631" s="97"/>
      <c r="C631" s="97" t="s">
        <v>82</v>
      </c>
      <c r="D631" s="103" t="s">
        <v>555</v>
      </c>
      <c r="E631" s="105">
        <v>0.1</v>
      </c>
      <c r="F631" s="298"/>
      <c r="G631" s="105">
        <f t="shared" ref="G631:G632" si="87">E631*F631</f>
        <v>0</v>
      </c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39.75" customHeight="1">
      <c r="A632" s="97">
        <v>2</v>
      </c>
      <c r="B632" s="97"/>
      <c r="C632" s="97" t="s">
        <v>60</v>
      </c>
      <c r="D632" s="103" t="s">
        <v>556</v>
      </c>
      <c r="E632" s="105">
        <v>3</v>
      </c>
      <c r="F632" s="298"/>
      <c r="G632" s="105">
        <f t="shared" si="87"/>
        <v>0</v>
      </c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61.5" customHeight="1">
      <c r="A633" s="97">
        <v>3</v>
      </c>
      <c r="B633" s="133"/>
      <c r="C633" s="97" t="s">
        <v>60</v>
      </c>
      <c r="D633" s="103" t="s">
        <v>557</v>
      </c>
      <c r="E633" s="105">
        <v>6</v>
      </c>
      <c r="F633" s="298"/>
      <c r="G633" s="105">
        <f t="shared" ref="G633:G636" si="88">F633*E633</f>
        <v>0</v>
      </c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36" customHeight="1">
      <c r="A634" s="97">
        <v>4</v>
      </c>
      <c r="B634" s="97"/>
      <c r="C634" s="97" t="s">
        <v>60</v>
      </c>
      <c r="D634" s="103" t="s">
        <v>446</v>
      </c>
      <c r="E634" s="105">
        <v>6</v>
      </c>
      <c r="F634" s="298"/>
      <c r="G634" s="105">
        <f t="shared" si="88"/>
        <v>0</v>
      </c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25.5" customHeight="1">
      <c r="A635" s="97">
        <v>5</v>
      </c>
      <c r="B635" s="133"/>
      <c r="C635" s="97" t="s">
        <v>60</v>
      </c>
      <c r="D635" s="103" t="s">
        <v>558</v>
      </c>
      <c r="E635" s="105">
        <v>6</v>
      </c>
      <c r="F635" s="298"/>
      <c r="G635" s="105">
        <f t="shared" si="88"/>
        <v>0</v>
      </c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8" customHeight="1">
      <c r="A636" s="97">
        <v>6</v>
      </c>
      <c r="B636" s="97"/>
      <c r="C636" s="97" t="s">
        <v>51</v>
      </c>
      <c r="D636" s="103" t="s">
        <v>112</v>
      </c>
      <c r="E636" s="298">
        <v>0.5</v>
      </c>
      <c r="F636" s="298"/>
      <c r="G636" s="348">
        <f t="shared" si="88"/>
        <v>0</v>
      </c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8" customHeight="1">
      <c r="A637" s="163"/>
      <c r="B637" s="102"/>
      <c r="C637" s="97"/>
      <c r="D637" s="151" t="s">
        <v>132</v>
      </c>
      <c r="E637" s="152">
        <v>1</v>
      </c>
      <c r="F637" s="152">
        <f>SUM(G631:G636)</f>
        <v>0</v>
      </c>
      <c r="G637" s="152">
        <f>ROUND(E637*F637,2)</f>
        <v>0</v>
      </c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3.5" customHeight="1">
      <c r="A638" s="154"/>
      <c r="B638" s="155"/>
      <c r="C638" s="156"/>
      <c r="D638" s="157"/>
      <c r="E638" s="158"/>
      <c r="F638" s="158"/>
      <c r="G638" s="158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68.25" customHeight="1">
      <c r="A639" s="97" t="str">
        <f>Sintetico!B776</f>
        <v>C060.6</v>
      </c>
      <c r="B639" s="144" t="s">
        <v>106</v>
      </c>
      <c r="C639" s="97"/>
      <c r="D639" s="103" t="str">
        <f>Sintetico!D776</f>
        <v>FABRICAÇÃO E MONTAGEM DE ESCADA METÁLICA COMPOSTA DE  20 DEGRAUS, 1 PATAMAR COM DIMENSÕES DE 2,25 X 2,25M E 1 PATAMAR DE 2,25 X 2,80M, DEGRAUS E PATAMAR  EM CHAPA METÁLICA XADREZ  ANTI-DERRAPANTE, E=3/16" - 4,75MM, LARGURA DE 2,25M, ALTURA PISO A PISO 3,25M, COMPRIMENTO ENTRE 10 A 13M, PILARES, VIGAS  E MESO ESTRUTURA EM PERFIS METÁLICOS RIGIDOS.</v>
      </c>
      <c r="E639" s="152"/>
      <c r="F639" s="152"/>
      <c r="G639" s="152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24" customHeight="1">
      <c r="A640" s="97">
        <v>1</v>
      </c>
      <c r="B640" s="97"/>
      <c r="C640" s="97" t="s">
        <v>121</v>
      </c>
      <c r="D640" s="103" t="s">
        <v>559</v>
      </c>
      <c r="E640" s="298">
        <v>601.11</v>
      </c>
      <c r="F640" s="298"/>
      <c r="G640" s="298">
        <f t="shared" ref="G640:G649" si="89">F640*E640</f>
        <v>0</v>
      </c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27.75" customHeight="1">
      <c r="A641" s="97">
        <v>2</v>
      </c>
      <c r="B641" s="97"/>
      <c r="C641" s="97" t="s">
        <v>121</v>
      </c>
      <c r="D641" s="103" t="s">
        <v>543</v>
      </c>
      <c r="E641" s="298">
        <v>216.87</v>
      </c>
      <c r="F641" s="298"/>
      <c r="G641" s="298">
        <f t="shared" si="89"/>
        <v>0</v>
      </c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26.25" customHeight="1">
      <c r="A642" s="97">
        <v>3</v>
      </c>
      <c r="B642" s="133"/>
      <c r="C642" s="97" t="s">
        <v>121</v>
      </c>
      <c r="D642" s="103" t="s">
        <v>560</v>
      </c>
      <c r="E642" s="298">
        <v>253.86</v>
      </c>
      <c r="F642" s="298"/>
      <c r="G642" s="298">
        <f t="shared" si="89"/>
        <v>0</v>
      </c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25.5" customHeight="1">
      <c r="A643" s="97">
        <v>4</v>
      </c>
      <c r="B643" s="97"/>
      <c r="C643" s="97" t="s">
        <v>121</v>
      </c>
      <c r="D643" s="103" t="s">
        <v>548</v>
      </c>
      <c r="E643" s="105">
        <f>635.25+114</f>
        <v>749.25</v>
      </c>
      <c r="F643" s="298"/>
      <c r="G643" s="298">
        <f t="shared" si="89"/>
        <v>0</v>
      </c>
      <c r="H643" s="306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8" customHeight="1">
      <c r="A644" s="97">
        <v>5</v>
      </c>
      <c r="B644" s="133"/>
      <c r="C644" s="97" t="s">
        <v>121</v>
      </c>
      <c r="D644" s="103" t="s">
        <v>561</v>
      </c>
      <c r="E644" s="298">
        <f>496/2</f>
        <v>248</v>
      </c>
      <c r="F644" s="298"/>
      <c r="G644" s="298">
        <f t="shared" si="89"/>
        <v>0</v>
      </c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8" customHeight="1">
      <c r="A645" s="97">
        <v>6</v>
      </c>
      <c r="B645" s="133"/>
      <c r="C645" s="97" t="s">
        <v>121</v>
      </c>
      <c r="D645" s="103" t="s">
        <v>562</v>
      </c>
      <c r="E645" s="298">
        <v>90</v>
      </c>
      <c r="F645" s="298"/>
      <c r="G645" s="298">
        <f t="shared" si="89"/>
        <v>0</v>
      </c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30" customHeight="1">
      <c r="A646" s="97">
        <v>7</v>
      </c>
      <c r="B646" s="133"/>
      <c r="C646" s="97" t="s">
        <v>125</v>
      </c>
      <c r="D646" s="103" t="s">
        <v>563</v>
      </c>
      <c r="E646" s="298">
        <v>53</v>
      </c>
      <c r="F646" s="298"/>
      <c r="G646" s="298">
        <f t="shared" si="89"/>
        <v>0</v>
      </c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27.75" customHeight="1">
      <c r="A647" s="97">
        <v>8</v>
      </c>
      <c r="B647" s="133"/>
      <c r="C647" s="97" t="s">
        <v>121</v>
      </c>
      <c r="D647" s="103" t="s">
        <v>564</v>
      </c>
      <c r="E647" s="298">
        <v>13</v>
      </c>
      <c r="F647" s="298"/>
      <c r="G647" s="298">
        <f t="shared" si="89"/>
        <v>0</v>
      </c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8" customHeight="1">
      <c r="A648" s="97">
        <v>9</v>
      </c>
      <c r="B648" s="97"/>
      <c r="C648" s="97" t="s">
        <v>51</v>
      </c>
      <c r="D648" s="103" t="s">
        <v>109</v>
      </c>
      <c r="E648" s="298">
        <v>120</v>
      </c>
      <c r="F648" s="298"/>
      <c r="G648" s="298">
        <f t="shared" si="89"/>
        <v>0</v>
      </c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8" customHeight="1">
      <c r="A649" s="97">
        <v>10</v>
      </c>
      <c r="B649" s="97"/>
      <c r="C649" s="97" t="s">
        <v>51</v>
      </c>
      <c r="D649" s="103" t="s">
        <v>112</v>
      </c>
      <c r="E649" s="298">
        <v>120</v>
      </c>
      <c r="F649" s="298"/>
      <c r="G649" s="298">
        <f t="shared" si="89"/>
        <v>0</v>
      </c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8" customHeight="1">
      <c r="A650" s="97"/>
      <c r="B650" s="97"/>
      <c r="C650" s="97"/>
      <c r="D650" s="151" t="s">
        <v>132</v>
      </c>
      <c r="E650" s="152">
        <v>1</v>
      </c>
      <c r="F650" s="152">
        <f>SUM(G640:G649)</f>
        <v>0</v>
      </c>
      <c r="G650" s="152">
        <f>ROUND(E650*F650,2)</f>
        <v>0</v>
      </c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8" customHeight="1">
      <c r="A651" s="154"/>
      <c r="B651" s="155"/>
      <c r="C651" s="156"/>
      <c r="D651" s="157"/>
      <c r="E651" s="158"/>
      <c r="F651" s="158"/>
      <c r="G651" s="158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8" customHeight="1">
      <c r="A652" s="97" t="str">
        <f>Sintetico!B768</f>
        <v>C060.7</v>
      </c>
      <c r="B652" s="144" t="s">
        <v>106</v>
      </c>
      <c r="C652" s="97" t="s">
        <v>60</v>
      </c>
      <c r="D652" s="103" t="str">
        <f>Sintetico!D768</f>
        <v>LIMPEZA DO TERRENO E RETIRADAS DE OBSTÁCULOS</v>
      </c>
      <c r="E652" s="105"/>
      <c r="F652" s="298"/>
      <c r="G652" s="105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8" customHeight="1">
      <c r="A653" s="97">
        <v>1</v>
      </c>
      <c r="B653" s="97"/>
      <c r="C653" s="97" t="s">
        <v>51</v>
      </c>
      <c r="D653" s="103" t="s">
        <v>112</v>
      </c>
      <c r="E653" s="298">
        <v>2</v>
      </c>
      <c r="F653" s="298"/>
      <c r="G653" s="298">
        <f>F653*E653</f>
        <v>0</v>
      </c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8" customHeight="1">
      <c r="A654" s="97"/>
      <c r="B654" s="97"/>
      <c r="C654" s="97"/>
      <c r="D654" s="151" t="s">
        <v>132</v>
      </c>
      <c r="E654" s="152">
        <v>1</v>
      </c>
      <c r="F654" s="152">
        <f>SUM(G652:G653)</f>
        <v>0</v>
      </c>
      <c r="G654" s="152">
        <f>ROUND(E654*F654,2)</f>
        <v>0</v>
      </c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2.75" customHeight="1">
      <c r="A655" s="154"/>
      <c r="B655" s="155"/>
      <c r="C655" s="156"/>
      <c r="D655" s="157"/>
      <c r="E655" s="158"/>
      <c r="F655" s="158"/>
      <c r="G655" s="158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25.5" customHeight="1">
      <c r="A656" s="97" t="s">
        <v>566</v>
      </c>
      <c r="B656" s="144" t="s">
        <v>106</v>
      </c>
      <c r="C656" s="97" t="s">
        <v>60</v>
      </c>
      <c r="D656" s="103" t="s">
        <v>567</v>
      </c>
      <c r="E656" s="105"/>
      <c r="F656" s="298"/>
      <c r="G656" s="105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" customHeight="1">
      <c r="A657" s="97">
        <v>1</v>
      </c>
      <c r="B657" s="97"/>
      <c r="C657" s="97" t="s">
        <v>51</v>
      </c>
      <c r="D657" s="103" t="s">
        <v>109</v>
      </c>
      <c r="E657" s="298">
        <v>0.55000000000000004</v>
      </c>
      <c r="F657" s="298"/>
      <c r="G657" s="348">
        <f t="shared" ref="G657:G660" si="90">F657*E657</f>
        <v>0</v>
      </c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" customHeight="1">
      <c r="A658" s="97">
        <v>2</v>
      </c>
      <c r="B658" s="97"/>
      <c r="C658" s="97" t="s">
        <v>51</v>
      </c>
      <c r="D658" s="103" t="s">
        <v>112</v>
      </c>
      <c r="E658" s="298">
        <v>0.55000000000000004</v>
      </c>
      <c r="F658" s="298"/>
      <c r="G658" s="348">
        <f t="shared" si="90"/>
        <v>0</v>
      </c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" customHeight="1">
      <c r="A659" s="97">
        <v>3</v>
      </c>
      <c r="B659" s="97"/>
      <c r="C659" s="97" t="s">
        <v>121</v>
      </c>
      <c r="D659" s="103" t="s">
        <v>122</v>
      </c>
      <c r="E659" s="298">
        <v>0.05</v>
      </c>
      <c r="F659" s="298"/>
      <c r="G659" s="348">
        <f t="shared" si="90"/>
        <v>0</v>
      </c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25.5" customHeight="1">
      <c r="A660" s="97">
        <v>4</v>
      </c>
      <c r="B660" s="97"/>
      <c r="C660" s="97" t="s">
        <v>121</v>
      </c>
      <c r="D660" s="103" t="s">
        <v>457</v>
      </c>
      <c r="E660" s="298">
        <v>12</v>
      </c>
      <c r="F660" s="298"/>
      <c r="G660" s="348">
        <f t="shared" si="90"/>
        <v>0</v>
      </c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2.75" customHeight="1">
      <c r="A661" s="163"/>
      <c r="B661" s="102"/>
      <c r="C661" s="97"/>
      <c r="D661" s="151" t="s">
        <v>132</v>
      </c>
      <c r="E661" s="152">
        <v>1</v>
      </c>
      <c r="F661" s="152">
        <f>SUM(G657:G660)</f>
        <v>0</v>
      </c>
      <c r="G661" s="152">
        <f>ROUND(E661*F661,2)</f>
        <v>0</v>
      </c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2.75" customHeight="1">
      <c r="A662" s="154"/>
      <c r="B662" s="155"/>
      <c r="C662" s="156"/>
      <c r="D662" s="421"/>
      <c r="E662" s="158"/>
      <c r="F662" s="158"/>
      <c r="G662" s="158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25.5" customHeight="1">
      <c r="A663" s="97" t="s">
        <v>568</v>
      </c>
      <c r="B663" s="144" t="s">
        <v>106</v>
      </c>
      <c r="C663" s="97" t="s">
        <v>60</v>
      </c>
      <c r="D663" s="343" t="s">
        <v>569</v>
      </c>
      <c r="E663" s="105"/>
      <c r="F663" s="298"/>
      <c r="G663" s="105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" customHeight="1">
      <c r="A664" s="97">
        <v>1</v>
      </c>
      <c r="B664" s="97"/>
      <c r="C664" s="97" t="s">
        <v>51</v>
      </c>
      <c r="D664" s="103" t="s">
        <v>109</v>
      </c>
      <c r="E664" s="298">
        <v>0.98</v>
      </c>
      <c r="F664" s="298"/>
      <c r="G664" s="348">
        <f t="shared" ref="G664:G667" si="91">F664*E664</f>
        <v>0</v>
      </c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" customHeight="1">
      <c r="A665" s="97">
        <v>2</v>
      </c>
      <c r="B665" s="97"/>
      <c r="C665" s="97" t="s">
        <v>51</v>
      </c>
      <c r="D665" s="103" t="s">
        <v>112</v>
      </c>
      <c r="E665" s="298">
        <v>0.98</v>
      </c>
      <c r="F665" s="298"/>
      <c r="G665" s="348">
        <f t="shared" si="91"/>
        <v>0</v>
      </c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" customHeight="1">
      <c r="A666" s="97">
        <v>3</v>
      </c>
      <c r="B666" s="97"/>
      <c r="C666" s="97" t="s">
        <v>121</v>
      </c>
      <c r="D666" s="103" t="s">
        <v>548</v>
      </c>
      <c r="E666" s="105">
        <v>38</v>
      </c>
      <c r="F666" s="298"/>
      <c r="G666" s="348">
        <f t="shared" si="91"/>
        <v>0</v>
      </c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" customHeight="1">
      <c r="A667" s="97">
        <v>4</v>
      </c>
      <c r="B667" s="97"/>
      <c r="C667" s="97" t="s">
        <v>121</v>
      </c>
      <c r="D667" s="103" t="s">
        <v>122</v>
      </c>
      <c r="E667" s="298">
        <v>0.19</v>
      </c>
      <c r="F667" s="298"/>
      <c r="G667" s="348">
        <f t="shared" si="91"/>
        <v>0</v>
      </c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2.75" customHeight="1">
      <c r="A668" s="163"/>
      <c r="B668" s="102"/>
      <c r="C668" s="97"/>
      <c r="D668" s="151" t="s">
        <v>132</v>
      </c>
      <c r="E668" s="152">
        <v>1</v>
      </c>
      <c r="F668" s="152">
        <f>SUM(G664:G667)</f>
        <v>0</v>
      </c>
      <c r="G668" s="152">
        <f>ROUND(E668*F668,2)</f>
        <v>0</v>
      </c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2.75" customHeight="1">
      <c r="A669" s="154"/>
      <c r="B669" s="155"/>
      <c r="C669" s="156"/>
      <c r="D669" s="157"/>
      <c r="E669" s="158"/>
      <c r="F669" s="158"/>
      <c r="G669" s="158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25.5" customHeight="1">
      <c r="A670" s="97" t="s">
        <v>571</v>
      </c>
      <c r="B670" s="144" t="s">
        <v>106</v>
      </c>
      <c r="C670" s="97" t="s">
        <v>70</v>
      </c>
      <c r="D670" s="103" t="s">
        <v>572</v>
      </c>
      <c r="E670" s="105"/>
      <c r="F670" s="105"/>
      <c r="G670" s="105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" customHeight="1">
      <c r="A671" s="97">
        <v>1</v>
      </c>
      <c r="B671" s="97"/>
      <c r="C671" s="97" t="s">
        <v>51</v>
      </c>
      <c r="D671" s="103" t="s">
        <v>109</v>
      </c>
      <c r="E671" s="298">
        <v>0.87</v>
      </c>
      <c r="F671" s="298"/>
      <c r="G671" s="298">
        <f t="shared" ref="G671:G679" si="92">F671*E671</f>
        <v>0</v>
      </c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" customHeight="1">
      <c r="A672" s="97">
        <v>2</v>
      </c>
      <c r="B672" s="97"/>
      <c r="C672" s="97" t="s">
        <v>51</v>
      </c>
      <c r="D672" s="103" t="s">
        <v>110</v>
      </c>
      <c r="E672" s="298">
        <v>0.87</v>
      </c>
      <c r="F672" s="298"/>
      <c r="G672" s="298">
        <f t="shared" si="92"/>
        <v>0</v>
      </c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4.25" customHeight="1">
      <c r="A673" s="97">
        <v>3</v>
      </c>
      <c r="B673" s="97"/>
      <c r="C673" s="97" t="s">
        <v>51</v>
      </c>
      <c r="D673" s="103" t="s">
        <v>112</v>
      </c>
      <c r="E673" s="298">
        <v>0.87</v>
      </c>
      <c r="F673" s="298"/>
      <c r="G673" s="298">
        <f t="shared" si="92"/>
        <v>0</v>
      </c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25.5" customHeight="1">
      <c r="A674" s="97">
        <v>4</v>
      </c>
      <c r="B674" s="97"/>
      <c r="C674" s="97" t="s">
        <v>70</v>
      </c>
      <c r="D674" s="103" t="s">
        <v>120</v>
      </c>
      <c r="E674" s="298">
        <v>1.1000000000000001</v>
      </c>
      <c r="F674" s="298"/>
      <c r="G674" s="298">
        <f t="shared" si="92"/>
        <v>0</v>
      </c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" customHeight="1">
      <c r="A675" s="97">
        <v>5</v>
      </c>
      <c r="B675" s="97"/>
      <c r="C675" s="97" t="s">
        <v>121</v>
      </c>
      <c r="D675" s="103" t="s">
        <v>122</v>
      </c>
      <c r="E675" s="298">
        <v>0.19</v>
      </c>
      <c r="F675" s="298"/>
      <c r="G675" s="298">
        <f t="shared" si="92"/>
        <v>0</v>
      </c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" customHeight="1">
      <c r="A676" s="97">
        <v>6</v>
      </c>
      <c r="B676" s="97"/>
      <c r="C676" s="97" t="s">
        <v>125</v>
      </c>
      <c r="D676" s="103" t="s">
        <v>126</v>
      </c>
      <c r="E676" s="298">
        <v>0.55000000000000004</v>
      </c>
      <c r="F676" s="298"/>
      <c r="G676" s="298">
        <f t="shared" si="92"/>
        <v>0</v>
      </c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" customHeight="1">
      <c r="A677" s="97">
        <v>7</v>
      </c>
      <c r="B677" s="97"/>
      <c r="C677" s="97" t="s">
        <v>18</v>
      </c>
      <c r="D677" s="103" t="s">
        <v>127</v>
      </c>
      <c r="E677" s="298">
        <v>0.08</v>
      </c>
      <c r="F677" s="298"/>
      <c r="G677" s="298">
        <f t="shared" si="92"/>
        <v>0</v>
      </c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25.5" customHeight="1">
      <c r="A678" s="97">
        <v>8</v>
      </c>
      <c r="B678" s="97"/>
      <c r="C678" s="97" t="s">
        <v>60</v>
      </c>
      <c r="D678" s="103" t="s">
        <v>472</v>
      </c>
      <c r="E678" s="298">
        <v>0.19</v>
      </c>
      <c r="F678" s="298"/>
      <c r="G678" s="298">
        <f t="shared" si="92"/>
        <v>0</v>
      </c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2.75" customHeight="1">
      <c r="A679" s="163"/>
      <c r="B679" s="102"/>
      <c r="C679" s="97"/>
      <c r="D679" s="151" t="s">
        <v>132</v>
      </c>
      <c r="E679" s="152">
        <v>1</v>
      </c>
      <c r="F679" s="152">
        <f>SUM(G671:G678)</f>
        <v>0</v>
      </c>
      <c r="G679" s="152">
        <f t="shared" si="92"/>
        <v>0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2.75" customHeight="1">
      <c r="A680" s="154"/>
      <c r="B680" s="155"/>
      <c r="C680" s="156"/>
      <c r="D680" s="157"/>
      <c r="E680" s="158"/>
      <c r="F680" s="158"/>
      <c r="G680" s="158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32.25" customHeight="1">
      <c r="A681" s="97" t="str">
        <f>Sintetico!B370</f>
        <v>C062.1</v>
      </c>
      <c r="B681" s="144" t="s">
        <v>106</v>
      </c>
      <c r="C681" s="97" t="s">
        <v>70</v>
      </c>
      <c r="D681" s="103" t="s">
        <v>577</v>
      </c>
      <c r="E681" s="105"/>
      <c r="F681" s="105"/>
      <c r="G681" s="105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" customHeight="1">
      <c r="A682" s="97">
        <v>1</v>
      </c>
      <c r="B682" s="97"/>
      <c r="C682" s="97" t="s">
        <v>51</v>
      </c>
      <c r="D682" s="103" t="s">
        <v>109</v>
      </c>
      <c r="E682" s="298">
        <v>1</v>
      </c>
      <c r="F682" s="298"/>
      <c r="G682" s="298">
        <f t="shared" ref="G682:G689" si="93">F682*E682</f>
        <v>0</v>
      </c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" customHeight="1">
      <c r="A683" s="97">
        <v>2</v>
      </c>
      <c r="B683" s="97"/>
      <c r="C683" s="97" t="s">
        <v>51</v>
      </c>
      <c r="D683" s="103" t="s">
        <v>110</v>
      </c>
      <c r="E683" s="298">
        <v>1</v>
      </c>
      <c r="F683" s="298"/>
      <c r="G683" s="298">
        <f t="shared" si="93"/>
        <v>0</v>
      </c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" customHeight="1">
      <c r="A684" s="97">
        <v>3</v>
      </c>
      <c r="B684" s="97"/>
      <c r="C684" s="97" t="s">
        <v>51</v>
      </c>
      <c r="D684" s="103" t="s">
        <v>112</v>
      </c>
      <c r="E684" s="298">
        <v>0.87</v>
      </c>
      <c r="F684" s="298"/>
      <c r="G684" s="298">
        <f t="shared" si="93"/>
        <v>0</v>
      </c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" customHeight="1">
      <c r="A685" s="97">
        <v>5</v>
      </c>
      <c r="B685" s="97"/>
      <c r="C685" s="97" t="s">
        <v>121</v>
      </c>
      <c r="D685" s="103" t="s">
        <v>122</v>
      </c>
      <c r="E685" s="298">
        <v>0.19</v>
      </c>
      <c r="F685" s="298"/>
      <c r="G685" s="298">
        <f t="shared" si="93"/>
        <v>0</v>
      </c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" customHeight="1">
      <c r="A686" s="97">
        <v>6</v>
      </c>
      <c r="B686" s="97"/>
      <c r="C686" s="97" t="s">
        <v>125</v>
      </c>
      <c r="D686" s="103" t="s">
        <v>126</v>
      </c>
      <c r="E686" s="298">
        <v>0.55000000000000004</v>
      </c>
      <c r="F686" s="298"/>
      <c r="G686" s="298">
        <f t="shared" si="93"/>
        <v>0</v>
      </c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" customHeight="1">
      <c r="A687" s="97">
        <v>7</v>
      </c>
      <c r="B687" s="97"/>
      <c r="C687" s="97" t="s">
        <v>18</v>
      </c>
      <c r="D687" s="103" t="s">
        <v>127</v>
      </c>
      <c r="E687" s="298">
        <v>0.08</v>
      </c>
      <c r="F687" s="298"/>
      <c r="G687" s="298">
        <f t="shared" si="93"/>
        <v>0</v>
      </c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" customHeight="1">
      <c r="A688" s="97">
        <v>8</v>
      </c>
      <c r="B688" s="97"/>
      <c r="C688" s="97" t="s">
        <v>60</v>
      </c>
      <c r="D688" s="103" t="s">
        <v>472</v>
      </c>
      <c r="E688" s="298">
        <v>0.19</v>
      </c>
      <c r="F688" s="298"/>
      <c r="G688" s="298">
        <f t="shared" si="93"/>
        <v>0</v>
      </c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" customHeight="1">
      <c r="A689" s="163"/>
      <c r="B689" s="102"/>
      <c r="C689" s="97"/>
      <c r="D689" s="151" t="s">
        <v>132</v>
      </c>
      <c r="E689" s="152">
        <v>1</v>
      </c>
      <c r="F689" s="152">
        <f>SUM(G682:G688)</f>
        <v>0</v>
      </c>
      <c r="G689" s="152">
        <f t="shared" si="93"/>
        <v>0</v>
      </c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" customHeight="1">
      <c r="A690" s="250"/>
      <c r="B690" s="249"/>
      <c r="C690" s="250"/>
      <c r="D690" s="432"/>
      <c r="E690" s="252"/>
      <c r="F690" s="433"/>
      <c r="G690" s="252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" customHeight="1">
      <c r="A691" s="97" t="s">
        <v>578</v>
      </c>
      <c r="B691" s="144" t="s">
        <v>106</v>
      </c>
      <c r="C691" s="97" t="s">
        <v>125</v>
      </c>
      <c r="D691" s="343" t="s">
        <v>579</v>
      </c>
      <c r="E691" s="105"/>
      <c r="F691" s="298"/>
      <c r="G691" s="105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" customHeight="1">
      <c r="A692" s="97">
        <v>1</v>
      </c>
      <c r="B692" s="97"/>
      <c r="C692" s="97" t="s">
        <v>51</v>
      </c>
      <c r="D692" s="103" t="s">
        <v>175</v>
      </c>
      <c r="E692" s="298">
        <v>10</v>
      </c>
      <c r="F692" s="298"/>
      <c r="G692" s="348">
        <f t="shared" ref="G692:G695" si="94">F692*E692</f>
        <v>0</v>
      </c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25.5" customHeight="1">
      <c r="A693" s="97">
        <v>2</v>
      </c>
      <c r="B693" s="97"/>
      <c r="C693" s="97" t="s">
        <v>51</v>
      </c>
      <c r="D693" s="103" t="s">
        <v>173</v>
      </c>
      <c r="E693" s="298">
        <v>10</v>
      </c>
      <c r="F693" s="298"/>
      <c r="G693" s="348">
        <f t="shared" si="94"/>
        <v>0</v>
      </c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" customHeight="1">
      <c r="A694" s="97">
        <v>3</v>
      </c>
      <c r="B694" s="97"/>
      <c r="C694" s="97" t="s">
        <v>60</v>
      </c>
      <c r="D694" s="103" t="s">
        <v>580</v>
      </c>
      <c r="E694" s="298">
        <v>8</v>
      </c>
      <c r="F694" s="298"/>
      <c r="G694" s="348">
        <f t="shared" si="94"/>
        <v>0</v>
      </c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" customHeight="1">
      <c r="A695" s="97">
        <v>4</v>
      </c>
      <c r="B695" s="97"/>
      <c r="C695" s="97" t="s">
        <v>125</v>
      </c>
      <c r="D695" s="103" t="s">
        <v>354</v>
      </c>
      <c r="E695" s="298">
        <v>7</v>
      </c>
      <c r="F695" s="298"/>
      <c r="G695" s="348">
        <f t="shared" si="94"/>
        <v>0</v>
      </c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2.75" customHeight="1">
      <c r="A696" s="163"/>
      <c r="B696" s="102"/>
      <c r="C696" s="97"/>
      <c r="D696" s="151" t="s">
        <v>132</v>
      </c>
      <c r="E696" s="152">
        <v>1</v>
      </c>
      <c r="F696" s="152">
        <f>SUM(G692:G695)</f>
        <v>0</v>
      </c>
      <c r="G696" s="152">
        <f>ROUND(E696*F696,2)</f>
        <v>0</v>
      </c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2.75" customHeight="1">
      <c r="A697" s="154"/>
      <c r="B697" s="155"/>
      <c r="C697" s="156"/>
      <c r="D697" s="157"/>
      <c r="E697" s="158"/>
      <c r="F697" s="158"/>
      <c r="G697" s="158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" customHeight="1">
      <c r="A698" s="97" t="s">
        <v>582</v>
      </c>
      <c r="B698" s="144" t="s">
        <v>106</v>
      </c>
      <c r="C698" s="97" t="s">
        <v>60</v>
      </c>
      <c r="D698" s="343" t="s">
        <v>583</v>
      </c>
      <c r="E698" s="105"/>
      <c r="F698" s="298"/>
      <c r="G698" s="105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" customHeight="1">
      <c r="A699" s="97">
        <v>1</v>
      </c>
      <c r="B699" s="97"/>
      <c r="C699" s="97" t="s">
        <v>45</v>
      </c>
      <c r="D699" s="103" t="s">
        <v>584</v>
      </c>
      <c r="E699" s="298">
        <v>1</v>
      </c>
      <c r="F699" s="298"/>
      <c r="G699" s="348">
        <f>F699*E699</f>
        <v>0</v>
      </c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2.75" customHeight="1">
      <c r="A700" s="163"/>
      <c r="B700" s="102"/>
      <c r="C700" s="97"/>
      <c r="D700" s="151" t="s">
        <v>132</v>
      </c>
      <c r="E700" s="152">
        <v>1</v>
      </c>
      <c r="F700" s="152">
        <f>SUM(G699)</f>
        <v>0</v>
      </c>
      <c r="G700" s="152">
        <f>ROUND(E700*F700,2)</f>
        <v>0</v>
      </c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2.75" customHeight="1">
      <c r="A701" s="154"/>
      <c r="B701" s="155"/>
      <c r="C701" s="156"/>
      <c r="D701" s="157"/>
      <c r="E701" s="158"/>
      <c r="F701" s="158"/>
      <c r="G701" s="158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25.5" hidden="1" customHeight="1">
      <c r="A702" s="97" t="s">
        <v>586</v>
      </c>
      <c r="B702" s="144" t="s">
        <v>106</v>
      </c>
      <c r="C702" s="97" t="s">
        <v>60</v>
      </c>
      <c r="D702" s="434" t="s">
        <v>587</v>
      </c>
      <c r="E702" s="105"/>
      <c r="F702" s="298"/>
      <c r="G702" s="105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51" hidden="1" customHeight="1">
      <c r="A703" s="97">
        <v>1</v>
      </c>
      <c r="B703" s="97">
        <v>90883</v>
      </c>
      <c r="C703" s="97" t="s">
        <v>70</v>
      </c>
      <c r="D703" s="103" t="s">
        <v>588</v>
      </c>
      <c r="E703" s="298">
        <v>28</v>
      </c>
      <c r="F703" s="298">
        <v>64.349999999999994</v>
      </c>
      <c r="G703" s="348">
        <f t="shared" ref="G703:G707" si="95">F703*E703</f>
        <v>1801.7999999999997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25.5" hidden="1" customHeight="1">
      <c r="A704" s="97">
        <v>2</v>
      </c>
      <c r="B704" s="97">
        <v>95576</v>
      </c>
      <c r="C704" s="97" t="s">
        <v>121</v>
      </c>
      <c r="D704" s="103" t="s">
        <v>366</v>
      </c>
      <c r="E704" s="298">
        <v>80</v>
      </c>
      <c r="F704" s="298">
        <v>9.3800000000000008</v>
      </c>
      <c r="G704" s="348">
        <f t="shared" si="95"/>
        <v>750.40000000000009</v>
      </c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25.5" hidden="1" customHeight="1">
      <c r="A705" s="97">
        <v>3</v>
      </c>
      <c r="B705" s="97">
        <v>96526</v>
      </c>
      <c r="C705" s="97" t="s">
        <v>82</v>
      </c>
      <c r="D705" s="103" t="s">
        <v>368</v>
      </c>
      <c r="E705" s="298">
        <v>3.5</v>
      </c>
      <c r="F705" s="298">
        <v>243.43</v>
      </c>
      <c r="G705" s="348">
        <f t="shared" si="95"/>
        <v>852.005</v>
      </c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38.25" hidden="1" customHeight="1">
      <c r="A706" s="97">
        <v>4</v>
      </c>
      <c r="B706" s="97">
        <v>96557</v>
      </c>
      <c r="C706" s="97" t="s">
        <v>82</v>
      </c>
      <c r="D706" s="103" t="s">
        <v>372</v>
      </c>
      <c r="E706" s="298">
        <v>3.5</v>
      </c>
      <c r="F706" s="298">
        <v>376.32</v>
      </c>
      <c r="G706" s="348">
        <f t="shared" si="95"/>
        <v>1317.12</v>
      </c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25.5" hidden="1" customHeight="1">
      <c r="A707" s="97">
        <v>5</v>
      </c>
      <c r="B707" s="97">
        <v>96545</v>
      </c>
      <c r="C707" s="97" t="s">
        <v>121</v>
      </c>
      <c r="D707" s="103" t="s">
        <v>589</v>
      </c>
      <c r="E707" s="298">
        <v>80</v>
      </c>
      <c r="F707" s="298">
        <v>10.64</v>
      </c>
      <c r="G707" s="348">
        <f t="shared" si="95"/>
        <v>851.2</v>
      </c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2.75" hidden="1" customHeight="1">
      <c r="A708" s="163"/>
      <c r="B708" s="102"/>
      <c r="C708" s="97"/>
      <c r="D708" s="151" t="s">
        <v>132</v>
      </c>
      <c r="E708" s="152">
        <v>1</v>
      </c>
      <c r="F708" s="152">
        <f>SUM(G703:G707)</f>
        <v>5572.5249999999996</v>
      </c>
      <c r="G708" s="152">
        <f>ROUND(E708*F708,2)</f>
        <v>5572.53</v>
      </c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2.75" hidden="1" customHeight="1">
      <c r="A709" s="154"/>
      <c r="B709" s="155"/>
      <c r="C709" s="156"/>
      <c r="D709" s="157"/>
      <c r="E709" s="158"/>
      <c r="F709" s="158"/>
      <c r="G709" s="158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25.5" customHeight="1">
      <c r="A710" s="97" t="s">
        <v>590</v>
      </c>
      <c r="B710" s="144" t="s">
        <v>106</v>
      </c>
      <c r="C710" s="144" t="s">
        <v>82</v>
      </c>
      <c r="D710" s="370" t="s">
        <v>591</v>
      </c>
      <c r="E710" s="298">
        <v>1.71</v>
      </c>
      <c r="F710" s="436"/>
      <c r="G710" s="437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51" customHeight="1">
      <c r="A711" s="144">
        <v>1</v>
      </c>
      <c r="B711" s="144"/>
      <c r="C711" s="144" t="s">
        <v>70</v>
      </c>
      <c r="D711" s="431" t="s">
        <v>592</v>
      </c>
      <c r="E711" s="438">
        <v>60</v>
      </c>
      <c r="F711" s="436"/>
      <c r="G711" s="436">
        <f t="shared" ref="G711:G716" si="96">F711*E711</f>
        <v>0</v>
      </c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25.5" customHeight="1">
      <c r="A712" s="144">
        <v>2</v>
      </c>
      <c r="B712" s="144"/>
      <c r="C712" s="144" t="s">
        <v>121</v>
      </c>
      <c r="D712" s="431" t="s">
        <v>366</v>
      </c>
      <c r="E712" s="436">
        <f>81.9*0.4</f>
        <v>32.760000000000005</v>
      </c>
      <c r="F712" s="436"/>
      <c r="G712" s="436">
        <f t="shared" si="96"/>
        <v>0</v>
      </c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25.5" customHeight="1">
      <c r="A713" s="144">
        <v>3</v>
      </c>
      <c r="B713" s="144"/>
      <c r="C713" s="144" t="s">
        <v>82</v>
      </c>
      <c r="D713" s="431" t="s">
        <v>368</v>
      </c>
      <c r="E713" s="436">
        <f>5.39*0.4</f>
        <v>2.1560000000000001</v>
      </c>
      <c r="F713" s="436"/>
      <c r="G713" s="436">
        <f t="shared" si="96"/>
        <v>0</v>
      </c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38.25" customHeight="1">
      <c r="A714" s="144">
        <v>4</v>
      </c>
      <c r="B714" s="144"/>
      <c r="C714" s="144" t="s">
        <v>82</v>
      </c>
      <c r="D714" s="431" t="s">
        <v>372</v>
      </c>
      <c r="E714" s="436">
        <f>(3.42+1.97)*0.4</f>
        <v>2.1560000000000001</v>
      </c>
      <c r="F714" s="436"/>
      <c r="G714" s="436">
        <f t="shared" si="96"/>
        <v>0</v>
      </c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25.5" customHeight="1">
      <c r="A715" s="144">
        <v>5</v>
      </c>
      <c r="B715" s="144"/>
      <c r="C715" s="144" t="s">
        <v>121</v>
      </c>
      <c r="D715" s="431" t="s">
        <v>373</v>
      </c>
      <c r="E715" s="436">
        <f>105.7*0.4</f>
        <v>42.28</v>
      </c>
      <c r="F715" s="436"/>
      <c r="G715" s="436">
        <f t="shared" si="96"/>
        <v>0</v>
      </c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25.5" customHeight="1">
      <c r="A716" s="144">
        <v>6</v>
      </c>
      <c r="B716" s="441"/>
      <c r="C716" s="144" t="s">
        <v>60</v>
      </c>
      <c r="D716" s="431" t="s">
        <v>376</v>
      </c>
      <c r="E716" s="442">
        <f>56.09*0.4</f>
        <v>22.436000000000003</v>
      </c>
      <c r="F716" s="443"/>
      <c r="G716" s="436">
        <f t="shared" si="96"/>
        <v>0</v>
      </c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2.75" customHeight="1">
      <c r="A717" s="144"/>
      <c r="B717" s="444"/>
      <c r="C717" s="444"/>
      <c r="D717" s="445" t="s">
        <v>132</v>
      </c>
      <c r="E717" s="446">
        <v>1</v>
      </c>
      <c r="F717" s="446">
        <f>SUM(G711:G716)</f>
        <v>0</v>
      </c>
      <c r="G717" s="446">
        <f>ROUND(E717*F717,2)</f>
        <v>0</v>
      </c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2.75" customHeight="1">
      <c r="A718" s="382"/>
      <c r="B718" s="382"/>
      <c r="C718" s="382"/>
      <c r="D718" s="382"/>
      <c r="E718" s="382"/>
      <c r="F718" s="382"/>
      <c r="G718" s="382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25.5" customHeight="1">
      <c r="A719" s="144" t="s">
        <v>593</v>
      </c>
      <c r="B719" s="144" t="s">
        <v>106</v>
      </c>
      <c r="C719" s="144" t="s">
        <v>82</v>
      </c>
      <c r="D719" s="343" t="s">
        <v>594</v>
      </c>
      <c r="E719" s="442">
        <v>1.71</v>
      </c>
      <c r="F719" s="436"/>
      <c r="G719" s="436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45" customHeight="1">
      <c r="A720" s="144">
        <v>1</v>
      </c>
      <c r="B720" s="144"/>
      <c r="C720" s="144" t="s">
        <v>70</v>
      </c>
      <c r="D720" s="103" t="s">
        <v>588</v>
      </c>
      <c r="E720" s="438">
        <v>90</v>
      </c>
      <c r="F720" s="436"/>
      <c r="G720" s="436">
        <f t="shared" ref="G720:G725" si="97">F720*E720</f>
        <v>0</v>
      </c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25.5" customHeight="1">
      <c r="A721" s="144">
        <v>2</v>
      </c>
      <c r="B721" s="144"/>
      <c r="C721" s="144" t="s">
        <v>121</v>
      </c>
      <c r="D721" s="431" t="s">
        <v>366</v>
      </c>
      <c r="E721" s="436">
        <f>81.9*0.6</f>
        <v>49.14</v>
      </c>
      <c r="F721" s="436"/>
      <c r="G721" s="436">
        <f t="shared" si="97"/>
        <v>0</v>
      </c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25.5" customHeight="1">
      <c r="A722" s="144">
        <v>3</v>
      </c>
      <c r="B722" s="144"/>
      <c r="C722" s="144" t="s">
        <v>82</v>
      </c>
      <c r="D722" s="431" t="s">
        <v>368</v>
      </c>
      <c r="E722" s="436">
        <f>5.39*0.6</f>
        <v>3.2339999999999995</v>
      </c>
      <c r="F722" s="436"/>
      <c r="G722" s="436">
        <f t="shared" si="97"/>
        <v>0</v>
      </c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38.25" customHeight="1">
      <c r="A723" s="144">
        <v>4</v>
      </c>
      <c r="B723" s="144"/>
      <c r="C723" s="144" t="s">
        <v>82</v>
      </c>
      <c r="D723" s="431" t="s">
        <v>372</v>
      </c>
      <c r="E723" s="436">
        <f>(3.42+1.97)*0.6</f>
        <v>3.2339999999999995</v>
      </c>
      <c r="F723" s="436"/>
      <c r="G723" s="436">
        <f t="shared" si="97"/>
        <v>0</v>
      </c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25.5" customHeight="1">
      <c r="A724" s="144">
        <v>5</v>
      </c>
      <c r="B724" s="144"/>
      <c r="C724" s="144" t="s">
        <v>121</v>
      </c>
      <c r="D724" s="431" t="s">
        <v>373</v>
      </c>
      <c r="E724" s="436">
        <f>105.7*0.6</f>
        <v>63.42</v>
      </c>
      <c r="F724" s="436"/>
      <c r="G724" s="436">
        <f t="shared" si="97"/>
        <v>0</v>
      </c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25.5" customHeight="1">
      <c r="A725" s="144">
        <v>6</v>
      </c>
      <c r="B725" s="441"/>
      <c r="C725" s="144" t="s">
        <v>60</v>
      </c>
      <c r="D725" s="431" t="s">
        <v>376</v>
      </c>
      <c r="E725" s="443">
        <f>56.09*0.6</f>
        <v>33.654000000000003</v>
      </c>
      <c r="F725" s="443"/>
      <c r="G725" s="436">
        <f t="shared" si="97"/>
        <v>0</v>
      </c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2.75" customHeight="1">
      <c r="A726" s="144"/>
      <c r="B726" s="144"/>
      <c r="C726" s="144"/>
      <c r="D726" s="445" t="s">
        <v>132</v>
      </c>
      <c r="E726" s="447">
        <v>1</v>
      </c>
      <c r="F726" s="447">
        <f>SUM(G720:G725)</f>
        <v>0</v>
      </c>
      <c r="G726" s="447">
        <f>ROUND(E726*F726,2)</f>
        <v>0</v>
      </c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2.75" customHeight="1">
      <c r="A727" s="382"/>
      <c r="B727" s="382"/>
      <c r="C727" s="382"/>
      <c r="D727" s="448"/>
      <c r="E727" s="449"/>
      <c r="F727" s="449"/>
      <c r="G727" s="449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2.75" customHeight="1">
      <c r="A728" s="144" t="s">
        <v>123</v>
      </c>
      <c r="B728" s="144" t="s">
        <v>106</v>
      </c>
      <c r="C728" s="144" t="s">
        <v>60</v>
      </c>
      <c r="D728" s="431" t="s">
        <v>596</v>
      </c>
      <c r="E728" s="450"/>
      <c r="F728" s="450"/>
      <c r="G728" s="45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2.75" customHeight="1">
      <c r="A729" s="144">
        <v>1</v>
      </c>
      <c r="B729" s="144"/>
      <c r="C729" s="144" t="s">
        <v>51</v>
      </c>
      <c r="D729" s="431" t="s">
        <v>597</v>
      </c>
      <c r="E729" s="443">
        <v>0.5</v>
      </c>
      <c r="F729" s="104"/>
      <c r="G729" s="104">
        <f t="shared" ref="G729:G730" si="98">F729*E729</f>
        <v>0</v>
      </c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2.75" customHeight="1">
      <c r="A730" s="144">
        <v>2</v>
      </c>
      <c r="B730" s="144"/>
      <c r="C730" s="144" t="s">
        <v>51</v>
      </c>
      <c r="D730" s="431" t="s">
        <v>112</v>
      </c>
      <c r="E730" s="436">
        <v>0.5</v>
      </c>
      <c r="F730" s="450"/>
      <c r="G730" s="104">
        <f t="shared" si="98"/>
        <v>0</v>
      </c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2.75" customHeight="1">
      <c r="A731" s="144"/>
      <c r="B731" s="144"/>
      <c r="C731" s="144"/>
      <c r="D731" s="431"/>
      <c r="E731" s="450"/>
      <c r="F731" s="450"/>
      <c r="G731" s="45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2.75" customHeight="1">
      <c r="A732" s="144"/>
      <c r="B732" s="144"/>
      <c r="C732" s="144"/>
      <c r="D732" s="445" t="s">
        <v>132</v>
      </c>
      <c r="E732" s="451">
        <v>1</v>
      </c>
      <c r="F732" s="447">
        <f>G729+G730</f>
        <v>0</v>
      </c>
      <c r="G732" s="447">
        <f>ROUND(E732*F732,2)</f>
        <v>0</v>
      </c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2.75" customHeight="1">
      <c r="A733" s="382"/>
      <c r="B733" s="382"/>
      <c r="C733" s="382"/>
      <c r="D733" s="382"/>
      <c r="E733" s="382"/>
      <c r="F733" s="382"/>
      <c r="G733" s="382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2.75" customHeight="1">
      <c r="A734" s="144" t="s">
        <v>599</v>
      </c>
      <c r="B734" s="144" t="s">
        <v>106</v>
      </c>
      <c r="C734" s="144" t="s">
        <v>45</v>
      </c>
      <c r="D734" s="431" t="s">
        <v>600</v>
      </c>
      <c r="E734" s="442"/>
      <c r="F734" s="442"/>
      <c r="G734" s="442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2.75" customHeight="1">
      <c r="A735" s="144">
        <v>1</v>
      </c>
      <c r="B735" s="441"/>
      <c r="C735" s="441" t="s">
        <v>51</v>
      </c>
      <c r="D735" s="431" t="s">
        <v>239</v>
      </c>
      <c r="E735" s="443">
        <v>1</v>
      </c>
      <c r="F735" s="442"/>
      <c r="G735" s="442">
        <f>F735*E735</f>
        <v>0</v>
      </c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2.75" customHeight="1">
      <c r="A736" s="431"/>
      <c r="B736" s="441"/>
      <c r="C736" s="431"/>
      <c r="D736" s="431"/>
      <c r="E736" s="442"/>
      <c r="F736" s="442"/>
      <c r="G736" s="442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2.75" customHeight="1">
      <c r="A737" s="431"/>
      <c r="B737" s="441"/>
      <c r="C737" s="431"/>
      <c r="D737" s="445" t="s">
        <v>132</v>
      </c>
      <c r="E737" s="451">
        <v>1</v>
      </c>
      <c r="F737" s="452">
        <f>G735</f>
        <v>0</v>
      </c>
      <c r="G737" s="447">
        <f>ROUND(E737*F737,2)</f>
        <v>0</v>
      </c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2.75" customHeight="1">
      <c r="A738" s="382"/>
      <c r="B738" s="382"/>
      <c r="C738" s="382"/>
      <c r="D738" s="382"/>
      <c r="E738" s="382"/>
      <c r="F738" s="382"/>
      <c r="G738" s="382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2.75" customHeight="1">
      <c r="A739" s="144" t="s">
        <v>601</v>
      </c>
      <c r="B739" s="144" t="s">
        <v>106</v>
      </c>
      <c r="C739" s="144" t="s">
        <v>70</v>
      </c>
      <c r="D739" s="431" t="s">
        <v>602</v>
      </c>
      <c r="E739" s="442"/>
      <c r="F739" s="442"/>
      <c r="G739" s="442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2.75" customHeight="1">
      <c r="A740" s="144">
        <v>1</v>
      </c>
      <c r="B740" s="441"/>
      <c r="C740" s="441" t="s">
        <v>51</v>
      </c>
      <c r="D740" s="431" t="s">
        <v>603</v>
      </c>
      <c r="E740" s="443">
        <v>0.25</v>
      </c>
      <c r="F740" s="442"/>
      <c r="G740" s="442">
        <f t="shared" ref="G740:G742" si="99">F740*E740</f>
        <v>0</v>
      </c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2.75" customHeight="1">
      <c r="A741" s="144">
        <v>2</v>
      </c>
      <c r="B741" s="441"/>
      <c r="C741" s="441" t="s">
        <v>70</v>
      </c>
      <c r="D741" s="431" t="s">
        <v>604</v>
      </c>
      <c r="E741" s="443">
        <v>1</v>
      </c>
      <c r="F741" s="443"/>
      <c r="G741" s="443">
        <f t="shared" si="99"/>
        <v>0</v>
      </c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2.75" customHeight="1">
      <c r="A742" s="144">
        <v>3</v>
      </c>
      <c r="B742" s="441"/>
      <c r="C742" s="144" t="s">
        <v>121</v>
      </c>
      <c r="D742" s="431" t="s">
        <v>350</v>
      </c>
      <c r="E742" s="443">
        <v>0.5</v>
      </c>
      <c r="F742" s="443"/>
      <c r="G742" s="443">
        <f t="shared" si="99"/>
        <v>0</v>
      </c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2.75" customHeight="1">
      <c r="A743" s="431"/>
      <c r="B743" s="431"/>
      <c r="C743" s="431"/>
      <c r="D743" s="445" t="s">
        <v>132</v>
      </c>
      <c r="E743" s="451">
        <v>1</v>
      </c>
      <c r="F743" s="453">
        <f>G740+G741+G742</f>
        <v>0</v>
      </c>
      <c r="G743" s="447">
        <f>ROUND(E743*F743,2)</f>
        <v>0</v>
      </c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2.75" customHeight="1">
      <c r="A744" s="382"/>
      <c r="B744" s="382"/>
      <c r="C744" s="382"/>
      <c r="D744" s="382"/>
      <c r="E744" s="382"/>
      <c r="F744" s="382"/>
      <c r="G744" s="382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25.5" customHeight="1">
      <c r="A745" s="144" t="s">
        <v>606</v>
      </c>
      <c r="B745" s="144" t="s">
        <v>106</v>
      </c>
      <c r="C745" s="144" t="s">
        <v>70</v>
      </c>
      <c r="D745" s="431" t="s">
        <v>280</v>
      </c>
      <c r="E745" s="442"/>
      <c r="F745" s="442"/>
      <c r="G745" s="442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2.75" customHeight="1">
      <c r="A746" s="144">
        <v>1</v>
      </c>
      <c r="B746" s="144"/>
      <c r="C746" s="144" t="s">
        <v>51</v>
      </c>
      <c r="D746" s="431" t="s">
        <v>113</v>
      </c>
      <c r="E746" s="436">
        <v>0.16470000000000001</v>
      </c>
      <c r="F746" s="436"/>
      <c r="G746" s="436">
        <f t="shared" ref="G746:G750" si="100">F746*E746</f>
        <v>0</v>
      </c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2.75" customHeight="1">
      <c r="A747" s="144">
        <v>2</v>
      </c>
      <c r="B747" s="144"/>
      <c r="C747" s="144" t="s">
        <v>51</v>
      </c>
      <c r="D747" s="431" t="s">
        <v>112</v>
      </c>
      <c r="E747" s="436">
        <v>0.16470000000000001</v>
      </c>
      <c r="F747" s="436"/>
      <c r="G747" s="436">
        <f t="shared" si="100"/>
        <v>0</v>
      </c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2.75" customHeight="1">
      <c r="A748" s="144">
        <v>3</v>
      </c>
      <c r="B748" s="144"/>
      <c r="C748" s="144" t="s">
        <v>121</v>
      </c>
      <c r="D748" s="431" t="s">
        <v>168</v>
      </c>
      <c r="E748" s="436">
        <v>5.4900000000000004E-2</v>
      </c>
      <c r="F748" s="436"/>
      <c r="G748" s="436">
        <f t="shared" si="100"/>
        <v>0</v>
      </c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25.5" customHeight="1">
      <c r="A749" s="144">
        <v>4</v>
      </c>
      <c r="B749" s="144"/>
      <c r="C749" s="144" t="s">
        <v>60</v>
      </c>
      <c r="D749" s="431" t="s">
        <v>280</v>
      </c>
      <c r="E749" s="436">
        <v>0.37</v>
      </c>
      <c r="F749" s="436"/>
      <c r="G749" s="436">
        <f t="shared" si="100"/>
        <v>0</v>
      </c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2.75" customHeight="1">
      <c r="A750" s="431"/>
      <c r="B750" s="431"/>
      <c r="C750" s="431"/>
      <c r="D750" s="445" t="s">
        <v>132</v>
      </c>
      <c r="E750" s="451">
        <v>1</v>
      </c>
      <c r="F750" s="453">
        <f>G747+G748+G749+G746</f>
        <v>0</v>
      </c>
      <c r="G750" s="447">
        <f t="shared" si="100"/>
        <v>0</v>
      </c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2.75" customHeight="1">
      <c r="A751" s="382"/>
      <c r="B751" s="382"/>
      <c r="C751" s="382"/>
      <c r="D751" s="382"/>
      <c r="E751" s="382"/>
      <c r="F751" s="382"/>
      <c r="G751" s="382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38.25" customHeight="1">
      <c r="A752" s="144" t="s">
        <v>611</v>
      </c>
      <c r="B752" s="144" t="s">
        <v>106</v>
      </c>
      <c r="C752" s="144" t="s">
        <v>82</v>
      </c>
      <c r="D752" s="370" t="s">
        <v>612</v>
      </c>
      <c r="E752" s="666">
        <v>1.71</v>
      </c>
      <c r="F752" s="436"/>
      <c r="G752" s="436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51" customHeight="1">
      <c r="A753" s="144">
        <v>1</v>
      </c>
      <c r="B753" s="97"/>
      <c r="C753" s="144" t="s">
        <v>70</v>
      </c>
      <c r="D753" s="431" t="s">
        <v>613</v>
      </c>
      <c r="E753" s="667">
        <v>20</v>
      </c>
      <c r="F753" s="436"/>
      <c r="G753" s="436">
        <f t="shared" ref="G753:G758" si="101">F753*E753</f>
        <v>0</v>
      </c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25.5" customHeight="1">
      <c r="A754" s="144">
        <v>2</v>
      </c>
      <c r="B754" s="144"/>
      <c r="C754" s="144" t="s">
        <v>121</v>
      </c>
      <c r="D754" s="431" t="s">
        <v>366</v>
      </c>
      <c r="E754" s="666">
        <v>42.2</v>
      </c>
      <c r="F754" s="436"/>
      <c r="G754" s="436">
        <f t="shared" si="101"/>
        <v>0</v>
      </c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25.5" customHeight="1">
      <c r="A755" s="144">
        <v>3</v>
      </c>
      <c r="B755" s="144"/>
      <c r="C755" s="144" t="s">
        <v>82</v>
      </c>
      <c r="D755" s="431" t="s">
        <v>368</v>
      </c>
      <c r="E755" s="666">
        <v>0.55000000000000004</v>
      </c>
      <c r="F755" s="436"/>
      <c r="G755" s="436">
        <f t="shared" si="101"/>
        <v>0</v>
      </c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38.25" customHeight="1">
      <c r="A756" s="144">
        <v>4</v>
      </c>
      <c r="B756" s="144"/>
      <c r="C756" s="144" t="s">
        <v>82</v>
      </c>
      <c r="D756" s="431" t="s">
        <v>372</v>
      </c>
      <c r="E756" s="666">
        <v>0.55000000000000004</v>
      </c>
      <c r="F756" s="436"/>
      <c r="G756" s="436">
        <f t="shared" si="101"/>
        <v>0</v>
      </c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25.5" customHeight="1">
      <c r="A757" s="144">
        <v>5</v>
      </c>
      <c r="B757" s="144"/>
      <c r="C757" s="144" t="s">
        <v>121</v>
      </c>
      <c r="D757" s="431" t="s">
        <v>373</v>
      </c>
      <c r="E757" s="666">
        <v>14.7</v>
      </c>
      <c r="F757" s="436"/>
      <c r="G757" s="436">
        <f t="shared" si="101"/>
        <v>0</v>
      </c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25.5" customHeight="1">
      <c r="A758" s="144">
        <v>6</v>
      </c>
      <c r="B758" s="441"/>
      <c r="C758" s="144" t="s">
        <v>60</v>
      </c>
      <c r="D758" s="431" t="s">
        <v>376</v>
      </c>
      <c r="E758" s="667">
        <v>8.2200000000000006</v>
      </c>
      <c r="F758" s="443"/>
      <c r="G758" s="436">
        <f t="shared" si="101"/>
        <v>0</v>
      </c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2.75" customHeight="1">
      <c r="A759" s="144"/>
      <c r="B759" s="144"/>
      <c r="C759" s="144"/>
      <c r="D759" s="445" t="s">
        <v>132</v>
      </c>
      <c r="E759" s="447">
        <v>1</v>
      </c>
      <c r="F759" s="447">
        <f>SUM(G753:G758)</f>
        <v>0</v>
      </c>
      <c r="G759" s="447">
        <f>ROUND(E759*F759,2)</f>
        <v>0</v>
      </c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2.75" customHeight="1">
      <c r="A760" s="382"/>
      <c r="B760" s="382"/>
      <c r="C760" s="382"/>
      <c r="D760" s="382"/>
      <c r="E760" s="382"/>
      <c r="F760" s="382"/>
      <c r="G760" s="382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2.75" customHeight="1">
      <c r="A761" s="144" t="s">
        <v>616</v>
      </c>
      <c r="B761" s="144" t="s">
        <v>106</v>
      </c>
      <c r="C761" s="144" t="s">
        <v>70</v>
      </c>
      <c r="D761" s="103" t="s">
        <v>617</v>
      </c>
      <c r="E761" s="442"/>
      <c r="F761" s="442"/>
      <c r="G761" s="442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25.5" customHeight="1">
      <c r="A762" s="144">
        <v>1</v>
      </c>
      <c r="B762" s="144"/>
      <c r="C762" s="144" t="s">
        <v>51</v>
      </c>
      <c r="D762" s="431" t="s">
        <v>173</v>
      </c>
      <c r="E762" s="436">
        <v>0.16470000000000001</v>
      </c>
      <c r="F762" s="436"/>
      <c r="G762" s="436">
        <f t="shared" ref="G762:G763" si="102">F762*E762</f>
        <v>0</v>
      </c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2.75" customHeight="1">
      <c r="A763" s="431"/>
      <c r="B763" s="431"/>
      <c r="C763" s="431"/>
      <c r="D763" s="445" t="s">
        <v>132</v>
      </c>
      <c r="E763" s="451">
        <v>1</v>
      </c>
      <c r="F763" s="453">
        <f>G762</f>
        <v>0</v>
      </c>
      <c r="G763" s="447">
        <f t="shared" si="102"/>
        <v>0</v>
      </c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2.75" customHeight="1">
      <c r="A764" s="382"/>
      <c r="B764" s="382"/>
      <c r="C764" s="382"/>
      <c r="D764" s="382"/>
      <c r="E764" s="382"/>
      <c r="F764" s="382"/>
      <c r="G764" s="382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25.5" customHeight="1">
      <c r="A765" s="144">
        <f>Sintetico!A41</f>
        <v>4.4000000000000004</v>
      </c>
      <c r="B765" s="144"/>
      <c r="C765" s="144"/>
      <c r="D765" s="370"/>
      <c r="E765" s="442"/>
      <c r="F765" s="442"/>
      <c r="G765" s="442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38.25">
      <c r="A766" s="457" t="str">
        <f>Sintetico!B41</f>
        <v>C072.1</v>
      </c>
      <c r="B766" s="97" t="s">
        <v>106</v>
      </c>
      <c r="C766" s="97" t="s">
        <v>82</v>
      </c>
      <c r="D766" s="103" t="str">
        <f>Sintetico!D41</f>
        <v>EXECUÇÃO DE CAMADA DE  CONCRETO FCK = 20MPA, TRAÇO 1:2,7:3 (CIMENTO/ AREIA MÉDIA/ BRITA 1), ESPESSURA 4 CM - PREPARO MECÂNICO COM BETONEIRA 400 L, DESEMPENADO MANUALMENTE</v>
      </c>
      <c r="E766" s="129"/>
      <c r="F766" s="458"/>
      <c r="G766" s="105"/>
    </row>
    <row r="767" spans="1:26" ht="25.5" customHeight="1">
      <c r="A767" s="144"/>
      <c r="B767" s="97"/>
      <c r="C767" s="97" t="s">
        <v>82</v>
      </c>
      <c r="D767" s="343" t="s">
        <v>619</v>
      </c>
      <c r="E767" s="129">
        <f>1*0.04</f>
        <v>0.04</v>
      </c>
      <c r="F767" s="436"/>
      <c r="G767" s="105">
        <f t="shared" ref="G767:G770" si="103">F767*E767</f>
        <v>0</v>
      </c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25.5" customHeight="1">
      <c r="A768" s="144">
        <v>1</v>
      </c>
      <c r="B768" s="144"/>
      <c r="C768" s="144" t="s">
        <v>51</v>
      </c>
      <c r="D768" s="431" t="s">
        <v>113</v>
      </c>
      <c r="E768" s="459">
        <v>0.4</v>
      </c>
      <c r="F768" s="436"/>
      <c r="G768" s="436">
        <f t="shared" si="103"/>
        <v>0</v>
      </c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25.5" customHeight="1">
      <c r="A769" s="144">
        <v>2</v>
      </c>
      <c r="B769" s="144"/>
      <c r="C769" s="144" t="s">
        <v>51</v>
      </c>
      <c r="D769" s="431" t="s">
        <v>112</v>
      </c>
      <c r="E769" s="459">
        <v>0.45</v>
      </c>
      <c r="F769" s="436"/>
      <c r="G769" s="436">
        <f t="shared" si="103"/>
        <v>0</v>
      </c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25.5" customHeight="1">
      <c r="A770" s="144"/>
      <c r="B770" s="144"/>
      <c r="C770" s="144"/>
      <c r="D770" s="445" t="s">
        <v>132</v>
      </c>
      <c r="E770" s="451">
        <v>1</v>
      </c>
      <c r="F770" s="453">
        <f>G769+G768+G767</f>
        <v>0</v>
      </c>
      <c r="G770" s="447">
        <f t="shared" si="103"/>
        <v>0</v>
      </c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25.5" hidden="1" customHeight="1">
      <c r="A771" s="144"/>
      <c r="B771" s="144"/>
      <c r="C771" s="144"/>
      <c r="D771" s="370"/>
      <c r="E771" s="442"/>
      <c r="F771" s="442"/>
      <c r="G771" s="442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25.5" hidden="1" customHeight="1">
      <c r="A772" s="144"/>
      <c r="B772" s="144"/>
      <c r="C772" s="144"/>
      <c r="D772" s="370"/>
      <c r="E772" s="442"/>
      <c r="F772" s="442"/>
      <c r="G772" s="442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25.5" hidden="1" customHeight="1">
      <c r="A773" s="144" t="e">
        <f>#REF!</f>
        <v>#REF!</v>
      </c>
      <c r="B773" s="97" t="s">
        <v>106</v>
      </c>
      <c r="C773" s="144"/>
      <c r="D773" s="370" t="e">
        <f>#REF!</f>
        <v>#REF!</v>
      </c>
      <c r="E773" s="442"/>
      <c r="F773" s="442"/>
      <c r="G773" s="442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25.5" hidden="1" customHeight="1">
      <c r="A774" s="144"/>
      <c r="B774" s="97">
        <v>574</v>
      </c>
      <c r="C774" s="144"/>
      <c r="D774" s="103" t="s">
        <v>621</v>
      </c>
      <c r="E774" s="459">
        <v>1</v>
      </c>
      <c r="F774" s="459">
        <v>19.489999999999998</v>
      </c>
      <c r="G774" s="436">
        <f t="shared" ref="G774:G777" si="104">F774*E774</f>
        <v>19.489999999999998</v>
      </c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25.5" hidden="1" customHeight="1">
      <c r="A775" s="144">
        <v>1</v>
      </c>
      <c r="B775" s="144" t="s">
        <v>314</v>
      </c>
      <c r="C775" s="144" t="s">
        <v>51</v>
      </c>
      <c r="D775" s="431" t="s">
        <v>113</v>
      </c>
      <c r="E775" s="459">
        <v>0.1</v>
      </c>
      <c r="F775" s="436">
        <v>22.28</v>
      </c>
      <c r="G775" s="436">
        <f t="shared" si="104"/>
        <v>2.2280000000000002</v>
      </c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25.5" hidden="1" customHeight="1">
      <c r="A776" s="144">
        <v>2</v>
      </c>
      <c r="B776" s="144" t="s">
        <v>315</v>
      </c>
      <c r="C776" s="144" t="s">
        <v>51</v>
      </c>
      <c r="D776" s="431" t="s">
        <v>112</v>
      </c>
      <c r="E776" s="459">
        <v>0.1</v>
      </c>
      <c r="F776" s="436">
        <v>16.329999999999998</v>
      </c>
      <c r="G776" s="436">
        <f t="shared" si="104"/>
        <v>1.633</v>
      </c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25.5" hidden="1" customHeight="1">
      <c r="A777" s="144"/>
      <c r="B777" s="144"/>
      <c r="C777" s="144"/>
      <c r="D777" s="445" t="s">
        <v>132</v>
      </c>
      <c r="E777" s="451">
        <v>1</v>
      </c>
      <c r="F777" s="453">
        <f>G776+G775+G774</f>
        <v>23.350999999999999</v>
      </c>
      <c r="G777" s="447">
        <f t="shared" si="104"/>
        <v>23.350999999999999</v>
      </c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8.75" customHeight="1">
      <c r="A778" s="382"/>
      <c r="B778" s="382"/>
      <c r="C778" s="382"/>
      <c r="D778" s="382"/>
      <c r="E778" s="382"/>
      <c r="F778" s="382"/>
      <c r="G778" s="382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25.5" customHeight="1">
      <c r="A779" s="144" t="s">
        <v>623</v>
      </c>
      <c r="B779" s="144" t="s">
        <v>106</v>
      </c>
      <c r="C779" s="144" t="s">
        <v>45</v>
      </c>
      <c r="D779" s="370" t="s">
        <v>624</v>
      </c>
      <c r="E779" s="442"/>
      <c r="F779" s="442"/>
      <c r="G779" s="442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25.5" customHeight="1">
      <c r="A780" s="144">
        <v>1</v>
      </c>
      <c r="B780" s="441"/>
      <c r="C780" s="441" t="s">
        <v>82</v>
      </c>
      <c r="D780" s="431" t="s">
        <v>355</v>
      </c>
      <c r="E780" s="442">
        <v>1.4</v>
      </c>
      <c r="F780" s="442"/>
      <c r="G780" s="436">
        <f t="shared" ref="G780:G789" si="105">F780*E780</f>
        <v>0</v>
      </c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25.5" customHeight="1">
      <c r="A781" s="144">
        <v>2</v>
      </c>
      <c r="B781" s="441"/>
      <c r="C781" s="441" t="s">
        <v>60</v>
      </c>
      <c r="D781" s="431" t="s">
        <v>376</v>
      </c>
      <c r="E781" s="442">
        <v>8.8000000000000007</v>
      </c>
      <c r="F781" s="443"/>
      <c r="G781" s="436">
        <f t="shared" si="105"/>
        <v>0</v>
      </c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2.75" customHeight="1">
      <c r="A782" s="144">
        <v>3</v>
      </c>
      <c r="B782" s="144"/>
      <c r="C782" s="144" t="s">
        <v>82</v>
      </c>
      <c r="D782" s="431" t="s">
        <v>529</v>
      </c>
      <c r="E782" s="436">
        <v>2.29</v>
      </c>
      <c r="F782" s="436"/>
      <c r="G782" s="436">
        <f t="shared" si="105"/>
        <v>0</v>
      </c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27" customHeight="1">
      <c r="A783" s="144">
        <v>4</v>
      </c>
      <c r="B783" s="144"/>
      <c r="C783" s="144" t="s">
        <v>82</v>
      </c>
      <c r="D783" s="431" t="s">
        <v>530</v>
      </c>
      <c r="E783" s="436">
        <v>2.29</v>
      </c>
      <c r="F783" s="436"/>
      <c r="G783" s="436">
        <f t="shared" si="105"/>
        <v>0</v>
      </c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25.5" customHeight="1">
      <c r="A784" s="144">
        <v>5</v>
      </c>
      <c r="B784" s="144"/>
      <c r="C784" s="144" t="s">
        <v>121</v>
      </c>
      <c r="D784" s="431" t="s">
        <v>532</v>
      </c>
      <c r="E784" s="436">
        <v>70.39</v>
      </c>
      <c r="F784" s="436"/>
      <c r="G784" s="436">
        <f t="shared" si="105"/>
        <v>0</v>
      </c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25.5" customHeight="1">
      <c r="A785" s="144">
        <v>6</v>
      </c>
      <c r="B785" s="144"/>
      <c r="C785" s="144" t="s">
        <v>121</v>
      </c>
      <c r="D785" s="431" t="s">
        <v>533</v>
      </c>
      <c r="E785" s="436">
        <v>27.39</v>
      </c>
      <c r="F785" s="436"/>
      <c r="G785" s="436">
        <f t="shared" si="105"/>
        <v>0</v>
      </c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25.5" customHeight="1">
      <c r="A786" s="144">
        <v>7</v>
      </c>
      <c r="B786" s="144"/>
      <c r="C786" s="144" t="s">
        <v>121</v>
      </c>
      <c r="D786" s="431" t="s">
        <v>534</v>
      </c>
      <c r="E786" s="436">
        <v>34.65</v>
      </c>
      <c r="F786" s="436"/>
      <c r="G786" s="436">
        <f t="shared" si="105"/>
        <v>0</v>
      </c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2.75" customHeight="1">
      <c r="A787" s="144">
        <v>8</v>
      </c>
      <c r="B787" s="144"/>
      <c r="C787" s="144" t="s">
        <v>121</v>
      </c>
      <c r="D787" s="431" t="s">
        <v>536</v>
      </c>
      <c r="E787" s="436">
        <v>5</v>
      </c>
      <c r="F787" s="436"/>
      <c r="G787" s="436">
        <f t="shared" si="105"/>
        <v>0</v>
      </c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38.25" customHeight="1">
      <c r="A788" s="144">
        <v>9</v>
      </c>
      <c r="B788" s="144"/>
      <c r="C788" s="144" t="s">
        <v>70</v>
      </c>
      <c r="D788" s="431" t="s">
        <v>538</v>
      </c>
      <c r="E788" s="438">
        <v>5</v>
      </c>
      <c r="F788" s="436"/>
      <c r="G788" s="436">
        <f t="shared" si="105"/>
        <v>0</v>
      </c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2.75" customHeight="1">
      <c r="A789" s="431"/>
      <c r="B789" s="431"/>
      <c r="C789" s="431"/>
      <c r="D789" s="445" t="s">
        <v>132</v>
      </c>
      <c r="E789" s="451">
        <v>1</v>
      </c>
      <c r="F789" s="453">
        <f>G780+G781+G782+G783+G784+G785+G786+G787+G788</f>
        <v>0</v>
      </c>
      <c r="G789" s="447">
        <f t="shared" si="105"/>
        <v>0</v>
      </c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2.75" customHeight="1">
      <c r="A790" s="382"/>
      <c r="B790" s="382"/>
      <c r="C790" s="382"/>
      <c r="D790" s="382"/>
      <c r="E790" s="382"/>
      <c r="F790" s="382"/>
      <c r="G790" s="382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2.75" customHeight="1">
      <c r="A791" s="144" t="s">
        <v>539</v>
      </c>
      <c r="B791" s="144" t="s">
        <v>106</v>
      </c>
      <c r="C791" s="441" t="s">
        <v>60</v>
      </c>
      <c r="D791" s="431" t="s">
        <v>540</v>
      </c>
      <c r="E791" s="442"/>
      <c r="F791" s="442"/>
      <c r="G791" s="442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2.75" customHeight="1">
      <c r="A792" s="144">
        <v>1</v>
      </c>
      <c r="B792" s="441"/>
      <c r="C792" s="441" t="s">
        <v>625</v>
      </c>
      <c r="D792" s="431" t="s">
        <v>297</v>
      </c>
      <c r="E792" s="462">
        <v>1</v>
      </c>
      <c r="F792" s="442"/>
      <c r="G792" s="436">
        <f t="shared" ref="G792:G794" si="106">F792*E792</f>
        <v>0</v>
      </c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25.5" customHeight="1">
      <c r="A793" s="144">
        <v>2</v>
      </c>
      <c r="B793" s="441"/>
      <c r="C793" s="441" t="s">
        <v>625</v>
      </c>
      <c r="D793" s="431" t="s">
        <v>626</v>
      </c>
      <c r="E793" s="462">
        <v>1</v>
      </c>
      <c r="F793" s="442"/>
      <c r="G793" s="436">
        <f t="shared" si="106"/>
        <v>0</v>
      </c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2.75" customHeight="1">
      <c r="A794" s="431"/>
      <c r="B794" s="441"/>
      <c r="C794" s="431"/>
      <c r="D794" s="445" t="s">
        <v>132</v>
      </c>
      <c r="E794" s="451">
        <v>1</v>
      </c>
      <c r="F794" s="453">
        <f>G792+G793</f>
        <v>0</v>
      </c>
      <c r="G794" s="447">
        <f t="shared" si="106"/>
        <v>0</v>
      </c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2.75" customHeight="1">
      <c r="A795" s="382"/>
      <c r="B795" s="382"/>
      <c r="C795" s="382"/>
      <c r="D795" s="382"/>
      <c r="E795" s="382"/>
      <c r="F795" s="382"/>
      <c r="G795" s="382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2.75" customHeight="1">
      <c r="A796" s="144" t="s">
        <v>627</v>
      </c>
      <c r="B796" s="144" t="s">
        <v>106</v>
      </c>
      <c r="C796" s="144" t="s">
        <v>45</v>
      </c>
      <c r="D796" s="431" t="s">
        <v>628</v>
      </c>
      <c r="E796" s="442"/>
      <c r="F796" s="442"/>
      <c r="G796" s="442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2.75" customHeight="1">
      <c r="A797" s="144">
        <v>1</v>
      </c>
      <c r="B797" s="441"/>
      <c r="C797" s="144" t="s">
        <v>51</v>
      </c>
      <c r="D797" s="431" t="s">
        <v>239</v>
      </c>
      <c r="E797" s="436">
        <v>5</v>
      </c>
      <c r="F797" s="436"/>
      <c r="G797" s="436">
        <f t="shared" ref="G797:G799" si="107">F797*E797</f>
        <v>0</v>
      </c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2.75" customHeight="1">
      <c r="A798" s="144">
        <v>2</v>
      </c>
      <c r="B798" s="441"/>
      <c r="C798" s="144" t="s">
        <v>51</v>
      </c>
      <c r="D798" s="431" t="s">
        <v>629</v>
      </c>
      <c r="E798" s="436">
        <v>5</v>
      </c>
      <c r="F798" s="436"/>
      <c r="G798" s="436">
        <f t="shared" si="107"/>
        <v>0</v>
      </c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2.75" customHeight="1">
      <c r="A799" s="431"/>
      <c r="B799" s="431"/>
      <c r="C799" s="431"/>
      <c r="D799" s="445" t="s">
        <v>132</v>
      </c>
      <c r="E799" s="451">
        <v>1</v>
      </c>
      <c r="F799" s="453">
        <f>G797+G798</f>
        <v>0</v>
      </c>
      <c r="G799" s="447">
        <f t="shared" si="107"/>
        <v>0</v>
      </c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2.75" customHeight="1">
      <c r="A800" s="382"/>
      <c r="B800" s="382"/>
      <c r="C800" s="382"/>
      <c r="D800" s="382"/>
      <c r="E800" s="382"/>
      <c r="F800" s="382"/>
      <c r="G800" s="382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2.75" customHeight="1">
      <c r="A801" s="144" t="s">
        <v>630</v>
      </c>
      <c r="B801" s="144" t="s">
        <v>106</v>
      </c>
      <c r="C801" s="144" t="s">
        <v>45</v>
      </c>
      <c r="D801" s="370" t="s">
        <v>631</v>
      </c>
      <c r="E801" s="442"/>
      <c r="F801" s="442"/>
      <c r="G801" s="442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2.75" customHeight="1">
      <c r="A802" s="144">
        <v>1</v>
      </c>
      <c r="B802" s="144"/>
      <c r="C802" s="144" t="s">
        <v>51</v>
      </c>
      <c r="D802" s="431" t="s">
        <v>632</v>
      </c>
      <c r="E802" s="438">
        <v>5</v>
      </c>
      <c r="F802" s="436"/>
      <c r="G802" s="436">
        <f t="shared" ref="G802:G807" si="108">F802*E802</f>
        <v>0</v>
      </c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2.75" customHeight="1">
      <c r="A803" s="144">
        <v>2</v>
      </c>
      <c r="B803" s="144"/>
      <c r="C803" s="144" t="s">
        <v>51</v>
      </c>
      <c r="D803" s="431" t="s">
        <v>633</v>
      </c>
      <c r="E803" s="436">
        <v>5</v>
      </c>
      <c r="F803" s="436"/>
      <c r="G803" s="436">
        <f t="shared" si="108"/>
        <v>0</v>
      </c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25.5" customHeight="1">
      <c r="A804" s="144">
        <v>3</v>
      </c>
      <c r="B804" s="441"/>
      <c r="C804" s="441" t="s">
        <v>70</v>
      </c>
      <c r="D804" s="431" t="s">
        <v>634</v>
      </c>
      <c r="E804" s="436">
        <v>7</v>
      </c>
      <c r="F804" s="436"/>
      <c r="G804" s="436">
        <f t="shared" si="108"/>
        <v>0</v>
      </c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38.25" customHeight="1">
      <c r="A805" s="144">
        <v>4</v>
      </c>
      <c r="B805" s="441"/>
      <c r="C805" s="441" t="s">
        <v>70</v>
      </c>
      <c r="D805" s="431" t="s">
        <v>635</v>
      </c>
      <c r="E805" s="436">
        <v>7</v>
      </c>
      <c r="F805" s="442"/>
      <c r="G805" s="436">
        <f t="shared" si="108"/>
        <v>0</v>
      </c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25.5" customHeight="1">
      <c r="A806" s="144">
        <v>5</v>
      </c>
      <c r="B806" s="441"/>
      <c r="C806" s="441" t="s">
        <v>70</v>
      </c>
      <c r="D806" s="431" t="s">
        <v>637</v>
      </c>
      <c r="E806" s="436">
        <v>28</v>
      </c>
      <c r="F806" s="442"/>
      <c r="G806" s="436">
        <f t="shared" si="108"/>
        <v>0</v>
      </c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2.75" customHeight="1">
      <c r="A807" s="431"/>
      <c r="B807" s="431"/>
      <c r="C807" s="431"/>
      <c r="D807" s="445" t="s">
        <v>132</v>
      </c>
      <c r="E807" s="451">
        <v>1</v>
      </c>
      <c r="F807" s="453">
        <f>G802+G803+G804+G805+G806</f>
        <v>0</v>
      </c>
      <c r="G807" s="447">
        <f t="shared" si="108"/>
        <v>0</v>
      </c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2.75" customHeight="1">
      <c r="A808" s="382"/>
      <c r="B808" s="382"/>
      <c r="C808" s="382"/>
      <c r="D808" s="382"/>
      <c r="E808" s="382"/>
      <c r="F808" s="382"/>
      <c r="G808" s="382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2.75" customHeight="1">
      <c r="A809" s="144" t="s">
        <v>638</v>
      </c>
      <c r="B809" s="144" t="s">
        <v>106</v>
      </c>
      <c r="C809" s="144" t="s">
        <v>45</v>
      </c>
      <c r="D809" s="370" t="s">
        <v>639</v>
      </c>
      <c r="E809" s="431"/>
      <c r="F809" s="431"/>
      <c r="G809" s="431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2.75" customHeight="1">
      <c r="A810" s="144">
        <v>1</v>
      </c>
      <c r="B810" s="144"/>
      <c r="C810" s="144" t="s">
        <v>51</v>
      </c>
      <c r="D810" s="431" t="s">
        <v>377</v>
      </c>
      <c r="E810" s="438">
        <v>4</v>
      </c>
      <c r="F810" s="436"/>
      <c r="G810" s="436">
        <f t="shared" ref="G810:G813" si="109">F810*E810</f>
        <v>0</v>
      </c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2.75" customHeight="1">
      <c r="A811" s="144">
        <v>2</v>
      </c>
      <c r="B811" s="144"/>
      <c r="C811" s="144" t="s">
        <v>51</v>
      </c>
      <c r="D811" s="431" t="s">
        <v>640</v>
      </c>
      <c r="E811" s="436">
        <v>4</v>
      </c>
      <c r="F811" s="436"/>
      <c r="G811" s="436">
        <f t="shared" si="109"/>
        <v>0</v>
      </c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25.5" customHeight="1">
      <c r="A812" s="144">
        <v>3</v>
      </c>
      <c r="B812" s="144"/>
      <c r="C812" s="144" t="s">
        <v>494</v>
      </c>
      <c r="D812" s="431" t="s">
        <v>641</v>
      </c>
      <c r="E812" s="436">
        <v>3</v>
      </c>
      <c r="F812" s="436"/>
      <c r="G812" s="436">
        <f t="shared" si="109"/>
        <v>0</v>
      </c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2.75" customHeight="1">
      <c r="A813" s="431"/>
      <c r="B813" s="431"/>
      <c r="C813" s="431"/>
      <c r="D813" s="445" t="s">
        <v>132</v>
      </c>
      <c r="E813" s="451">
        <v>1</v>
      </c>
      <c r="F813" s="453">
        <f>G810+G811+G812</f>
        <v>0</v>
      </c>
      <c r="G813" s="447">
        <f t="shared" si="109"/>
        <v>0</v>
      </c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2.75" customHeight="1">
      <c r="A814" s="382"/>
      <c r="B814" s="382"/>
      <c r="C814" s="382"/>
      <c r="D814" s="382"/>
      <c r="E814" s="382"/>
      <c r="F814" s="382"/>
      <c r="G814" s="382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2.75" customHeight="1">
      <c r="A815" s="144" t="s">
        <v>643</v>
      </c>
      <c r="B815" s="144" t="s">
        <v>106</v>
      </c>
      <c r="C815" s="144" t="s">
        <v>45</v>
      </c>
      <c r="D815" s="370" t="s">
        <v>644</v>
      </c>
      <c r="E815" s="442"/>
      <c r="F815" s="442"/>
      <c r="G815" s="442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2.75" customHeight="1">
      <c r="A816" s="144">
        <v>1</v>
      </c>
      <c r="B816" s="144"/>
      <c r="C816" s="144" t="s">
        <v>51</v>
      </c>
      <c r="D816" s="431" t="s">
        <v>175</v>
      </c>
      <c r="E816" s="438">
        <v>1</v>
      </c>
      <c r="F816" s="436"/>
      <c r="G816" s="436">
        <f t="shared" ref="G816:G819" si="110">F816*E816</f>
        <v>0</v>
      </c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25.5" customHeight="1">
      <c r="A817" s="144">
        <v>2</v>
      </c>
      <c r="B817" s="441"/>
      <c r="C817" s="441" t="s">
        <v>70</v>
      </c>
      <c r="D817" s="431" t="s">
        <v>647</v>
      </c>
      <c r="E817" s="436">
        <v>2</v>
      </c>
      <c r="F817" s="436"/>
      <c r="G817" s="436">
        <f t="shared" si="110"/>
        <v>0</v>
      </c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25.5" customHeight="1">
      <c r="A818" s="144">
        <v>3</v>
      </c>
      <c r="B818" s="144"/>
      <c r="C818" s="144" t="s">
        <v>51</v>
      </c>
      <c r="D818" s="431" t="s">
        <v>173</v>
      </c>
      <c r="E818" s="436">
        <v>1</v>
      </c>
      <c r="F818" s="436"/>
      <c r="G818" s="436">
        <f t="shared" si="110"/>
        <v>0</v>
      </c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2.75" customHeight="1">
      <c r="A819" s="431"/>
      <c r="B819" s="431"/>
      <c r="C819" s="431"/>
      <c r="D819" s="445" t="s">
        <v>132</v>
      </c>
      <c r="E819" s="451">
        <v>1</v>
      </c>
      <c r="F819" s="453">
        <f>G816+G817+G818</f>
        <v>0</v>
      </c>
      <c r="G819" s="447">
        <f t="shared" si="110"/>
        <v>0</v>
      </c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2.75" customHeight="1">
      <c r="A820" s="382"/>
      <c r="B820" s="382"/>
      <c r="C820" s="382"/>
      <c r="D820" s="382"/>
      <c r="E820" s="382"/>
      <c r="F820" s="382"/>
      <c r="G820" s="382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2.75" customHeight="1">
      <c r="A821" s="144" t="s">
        <v>648</v>
      </c>
      <c r="B821" s="144" t="s">
        <v>106</v>
      </c>
      <c r="C821" s="144" t="s">
        <v>45</v>
      </c>
      <c r="D821" s="431" t="s">
        <v>649</v>
      </c>
      <c r="E821" s="442"/>
      <c r="F821" s="442"/>
      <c r="G821" s="442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2.75" customHeight="1">
      <c r="A822" s="144">
        <v>1</v>
      </c>
      <c r="B822" s="441"/>
      <c r="C822" s="144" t="s">
        <v>51</v>
      </c>
      <c r="D822" s="431" t="s">
        <v>109</v>
      </c>
      <c r="E822" s="436">
        <v>1.5</v>
      </c>
      <c r="F822" s="436"/>
      <c r="G822" s="436">
        <f t="shared" ref="G822:G826" si="111">F822*E822</f>
        <v>0</v>
      </c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2.75" customHeight="1">
      <c r="A823" s="144">
        <v>2</v>
      </c>
      <c r="B823" s="441"/>
      <c r="C823" s="144" t="s">
        <v>51</v>
      </c>
      <c r="D823" s="431" t="s">
        <v>640</v>
      </c>
      <c r="E823" s="436">
        <v>1.5</v>
      </c>
      <c r="F823" s="436"/>
      <c r="G823" s="436">
        <f t="shared" si="111"/>
        <v>0</v>
      </c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2.75" customHeight="1">
      <c r="A824" s="144">
        <v>3</v>
      </c>
      <c r="B824" s="441"/>
      <c r="C824" s="144" t="s">
        <v>121</v>
      </c>
      <c r="D824" s="431" t="s">
        <v>651</v>
      </c>
      <c r="E824" s="436">
        <v>0.25</v>
      </c>
      <c r="F824" s="436"/>
      <c r="G824" s="436">
        <f t="shared" si="111"/>
        <v>0</v>
      </c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25.5" customHeight="1">
      <c r="A825" s="144">
        <v>4</v>
      </c>
      <c r="B825" s="441"/>
      <c r="C825" s="144" t="s">
        <v>45</v>
      </c>
      <c r="D825" s="431" t="s">
        <v>652</v>
      </c>
      <c r="E825" s="436">
        <v>2</v>
      </c>
      <c r="F825" s="436"/>
      <c r="G825" s="436">
        <f t="shared" si="111"/>
        <v>0</v>
      </c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2.75" customHeight="1">
      <c r="A826" s="431"/>
      <c r="B826" s="431"/>
      <c r="C826" s="431"/>
      <c r="D826" s="445" t="s">
        <v>132</v>
      </c>
      <c r="E826" s="451">
        <v>1</v>
      </c>
      <c r="F826" s="453">
        <f>G822+G823+G824+G825</f>
        <v>0</v>
      </c>
      <c r="G826" s="447">
        <f t="shared" si="111"/>
        <v>0</v>
      </c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2.75" customHeight="1">
      <c r="A827" s="382"/>
      <c r="B827" s="382"/>
      <c r="C827" s="382"/>
      <c r="D827" s="382"/>
      <c r="E827" s="382"/>
      <c r="F827" s="382"/>
      <c r="G827" s="382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2.75" customHeight="1">
      <c r="A828" s="144" t="s">
        <v>206</v>
      </c>
      <c r="B828" s="144" t="s">
        <v>106</v>
      </c>
      <c r="C828" s="144" t="s">
        <v>45</v>
      </c>
      <c r="D828" s="431" t="s">
        <v>207</v>
      </c>
      <c r="E828" s="442"/>
      <c r="F828" s="442"/>
      <c r="G828" s="442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2.75" customHeight="1">
      <c r="A829" s="144">
        <v>1</v>
      </c>
      <c r="B829" s="441"/>
      <c r="C829" s="144" t="s">
        <v>51</v>
      </c>
      <c r="D829" s="431" t="s">
        <v>113</v>
      </c>
      <c r="E829" s="436">
        <v>0.5</v>
      </c>
      <c r="F829" s="436"/>
      <c r="G829" s="436">
        <f t="shared" ref="G829:G831" si="112">F829*E829</f>
        <v>0</v>
      </c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2.75" customHeight="1">
      <c r="A830" s="144">
        <v>2</v>
      </c>
      <c r="B830" s="441"/>
      <c r="C830" s="144" t="s">
        <v>51</v>
      </c>
      <c r="D830" s="431" t="s">
        <v>653</v>
      </c>
      <c r="E830" s="436">
        <v>0.5</v>
      </c>
      <c r="F830" s="436"/>
      <c r="G830" s="436">
        <f t="shared" si="112"/>
        <v>0</v>
      </c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2.75" customHeight="1">
      <c r="A831" s="431"/>
      <c r="B831" s="431"/>
      <c r="C831" s="431"/>
      <c r="D831" s="445" t="s">
        <v>132</v>
      </c>
      <c r="E831" s="451">
        <v>1</v>
      </c>
      <c r="F831" s="453">
        <f>G829+G830</f>
        <v>0</v>
      </c>
      <c r="G831" s="447">
        <f t="shared" si="112"/>
        <v>0</v>
      </c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2.75" customHeight="1">
      <c r="A832" s="382"/>
      <c r="B832" s="382"/>
      <c r="C832" s="382"/>
      <c r="D832" s="382"/>
      <c r="E832" s="382"/>
      <c r="F832" s="382"/>
      <c r="G832" s="382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7" ht="27" customHeight="1">
      <c r="A833" s="97" t="s">
        <v>654</v>
      </c>
      <c r="B833" s="97" t="s">
        <v>106</v>
      </c>
      <c r="C833" s="97" t="s">
        <v>70</v>
      </c>
      <c r="D833" s="496" t="s">
        <v>655</v>
      </c>
      <c r="E833" s="436"/>
      <c r="F833" s="436"/>
      <c r="G833" s="436"/>
    </row>
    <row r="834" spans="1:7" ht="42.75" customHeight="1">
      <c r="A834" s="144"/>
      <c r="B834" s="97"/>
      <c r="C834" s="97" t="s">
        <v>60</v>
      </c>
      <c r="D834" s="103" t="s">
        <v>656</v>
      </c>
      <c r="E834" s="459">
        <v>1.44</v>
      </c>
      <c r="F834" s="459"/>
      <c r="G834" s="436">
        <f t="shared" ref="G834:G839" si="113">F834*E834</f>
        <v>0</v>
      </c>
    </row>
    <row r="835" spans="1:7" ht="37.5" customHeight="1">
      <c r="A835" s="144"/>
      <c r="B835" s="97"/>
      <c r="C835" s="97" t="s">
        <v>82</v>
      </c>
      <c r="D835" s="103" t="s">
        <v>657</v>
      </c>
      <c r="E835" s="436">
        <f t="shared" ref="E835:E836" si="114">0.6*0.6*0.6</f>
        <v>0.216</v>
      </c>
      <c r="F835" s="459"/>
      <c r="G835" s="436">
        <f t="shared" si="113"/>
        <v>0</v>
      </c>
    </row>
    <row r="836" spans="1:7" ht="27.75" customHeight="1">
      <c r="A836" s="144"/>
      <c r="B836" s="97"/>
      <c r="C836" s="97" t="s">
        <v>82</v>
      </c>
      <c r="D836" s="103" t="s">
        <v>658</v>
      </c>
      <c r="E836" s="436">
        <f t="shared" si="114"/>
        <v>0.216</v>
      </c>
      <c r="F836" s="459"/>
      <c r="G836" s="436">
        <f t="shared" si="113"/>
        <v>0</v>
      </c>
    </row>
    <row r="837" spans="1:7" ht="27" customHeight="1">
      <c r="A837" s="144"/>
      <c r="B837" s="97"/>
      <c r="C837" s="97" t="s">
        <v>659</v>
      </c>
      <c r="D837" s="103" t="s">
        <v>532</v>
      </c>
      <c r="E837" s="459">
        <v>6.9</v>
      </c>
      <c r="F837" s="459"/>
      <c r="G837" s="436">
        <f t="shared" si="113"/>
        <v>0</v>
      </c>
    </row>
    <row r="838" spans="1:7" ht="27" customHeight="1">
      <c r="A838" s="144"/>
      <c r="B838" s="97"/>
      <c r="C838" s="144"/>
      <c r="D838" s="103" t="s">
        <v>533</v>
      </c>
      <c r="E838" s="459">
        <v>9.1999999999999993</v>
      </c>
      <c r="F838" s="459"/>
      <c r="G838" s="436">
        <f t="shared" si="113"/>
        <v>0</v>
      </c>
    </row>
    <row r="839" spans="1:7" ht="27" customHeight="1">
      <c r="A839" s="431"/>
      <c r="B839" s="431"/>
      <c r="C839" s="431"/>
      <c r="D839" s="445" t="s">
        <v>132</v>
      </c>
      <c r="E839" s="451">
        <v>1</v>
      </c>
      <c r="F839" s="453">
        <f>G837+G838+G836+G835+G834</f>
        <v>0</v>
      </c>
      <c r="G839" s="447">
        <f t="shared" si="113"/>
        <v>0</v>
      </c>
    </row>
    <row r="840" spans="1:7" ht="18" customHeight="1">
      <c r="A840" s="382"/>
      <c r="B840" s="382"/>
      <c r="C840" s="382"/>
      <c r="D840" s="382"/>
      <c r="E840" s="382"/>
      <c r="F840" s="382"/>
      <c r="G840" s="382"/>
    </row>
    <row r="841" spans="1:7" ht="33" customHeight="1">
      <c r="A841" s="97" t="s">
        <v>660</v>
      </c>
      <c r="B841" s="97" t="s">
        <v>106</v>
      </c>
      <c r="C841" s="97" t="s">
        <v>70</v>
      </c>
      <c r="D841" s="498" t="s">
        <v>661</v>
      </c>
      <c r="E841" s="436"/>
      <c r="F841" s="436"/>
      <c r="G841" s="436"/>
    </row>
    <row r="842" spans="1:7" ht="27" customHeight="1">
      <c r="A842" s="144"/>
      <c r="B842" s="97"/>
      <c r="C842" s="97" t="s">
        <v>70</v>
      </c>
      <c r="D842" s="103" t="s">
        <v>662</v>
      </c>
      <c r="E842" s="459">
        <v>1</v>
      </c>
      <c r="F842" s="459"/>
      <c r="G842" s="436">
        <f t="shared" ref="G842:G847" si="115">F842*E842</f>
        <v>0</v>
      </c>
    </row>
    <row r="843" spans="1:7" ht="27" customHeight="1">
      <c r="A843" s="144"/>
      <c r="B843" s="441"/>
      <c r="C843" s="144" t="s">
        <v>121</v>
      </c>
      <c r="D843" s="431" t="s">
        <v>651</v>
      </c>
      <c r="E843" s="459">
        <v>0.4</v>
      </c>
      <c r="F843" s="436"/>
      <c r="G843" s="436">
        <f t="shared" si="115"/>
        <v>0</v>
      </c>
    </row>
    <row r="844" spans="1:7" ht="27" customHeight="1">
      <c r="A844" s="144"/>
      <c r="B844" s="97"/>
      <c r="C844" s="144"/>
      <c r="D844" s="103" t="s">
        <v>663</v>
      </c>
      <c r="E844" s="436">
        <f>((0.15+0.05)/2)*0.07</f>
        <v>7.000000000000001E-3</v>
      </c>
      <c r="F844" s="459"/>
      <c r="G844" s="436">
        <f t="shared" si="115"/>
        <v>0</v>
      </c>
    </row>
    <row r="845" spans="1:7" ht="27" customHeight="1">
      <c r="A845" s="144"/>
      <c r="B845" s="144"/>
      <c r="C845" s="144" t="s">
        <v>51</v>
      </c>
      <c r="D845" s="431" t="s">
        <v>112</v>
      </c>
      <c r="E845" s="459">
        <v>0.5</v>
      </c>
      <c r="F845" s="436"/>
      <c r="G845" s="436">
        <f t="shared" si="115"/>
        <v>0</v>
      </c>
    </row>
    <row r="846" spans="1:7" ht="27" customHeight="1">
      <c r="A846" s="144"/>
      <c r="B846" s="441"/>
      <c r="C846" s="144" t="s">
        <v>51</v>
      </c>
      <c r="D846" s="431" t="s">
        <v>109</v>
      </c>
      <c r="E846" s="459">
        <v>0.5</v>
      </c>
      <c r="F846" s="436"/>
      <c r="G846" s="436">
        <f t="shared" si="115"/>
        <v>0</v>
      </c>
    </row>
    <row r="847" spans="1:7" ht="27" customHeight="1">
      <c r="A847" s="144"/>
      <c r="B847" s="97"/>
      <c r="C847" s="144"/>
      <c r="D847" s="445" t="s">
        <v>132</v>
      </c>
      <c r="E847" s="451">
        <v>1</v>
      </c>
      <c r="F847" s="453">
        <f>G842+G843+G844+G845+G846</f>
        <v>0</v>
      </c>
      <c r="G847" s="447">
        <f t="shared" si="115"/>
        <v>0</v>
      </c>
    </row>
    <row r="848" spans="1:7" ht="16.5" customHeight="1">
      <c r="A848" s="382"/>
      <c r="B848" s="382"/>
      <c r="C848" s="382"/>
      <c r="D848" s="382"/>
      <c r="E848" s="382"/>
      <c r="F848" s="382"/>
      <c r="G848" s="382"/>
    </row>
    <row r="849" spans="1:7" ht="27" customHeight="1">
      <c r="A849" s="97" t="s">
        <v>664</v>
      </c>
      <c r="B849" s="97" t="s">
        <v>106</v>
      </c>
      <c r="C849" s="144"/>
      <c r="D849" s="496" t="s">
        <v>665</v>
      </c>
      <c r="E849" s="436"/>
      <c r="F849" s="436"/>
      <c r="G849" s="436"/>
    </row>
    <row r="850" spans="1:7" ht="25.5">
      <c r="A850" s="97">
        <v>1</v>
      </c>
      <c r="B850" s="97" t="s">
        <v>666</v>
      </c>
      <c r="C850" s="97" t="s">
        <v>121</v>
      </c>
      <c r="D850" s="103" t="s">
        <v>667</v>
      </c>
      <c r="E850" s="459">
        <f>4.01*7.2</f>
        <v>28.872</v>
      </c>
      <c r="F850" s="459"/>
      <c r="G850" s="436">
        <f t="shared" ref="G850:G855" si="116">F850*E850</f>
        <v>0</v>
      </c>
    </row>
    <row r="851" spans="1:7">
      <c r="A851" s="97">
        <v>2</v>
      </c>
      <c r="B851" s="441"/>
      <c r="C851" s="144" t="s">
        <v>121</v>
      </c>
      <c r="D851" s="431" t="s">
        <v>651</v>
      </c>
      <c r="E851" s="459">
        <v>0.4</v>
      </c>
      <c r="F851" s="436"/>
      <c r="G851" s="436">
        <f t="shared" si="116"/>
        <v>0</v>
      </c>
    </row>
    <row r="852" spans="1:7">
      <c r="A852" s="97">
        <v>3</v>
      </c>
      <c r="B852" s="144"/>
      <c r="C852" s="144" t="s">
        <v>51</v>
      </c>
      <c r="D852" s="431" t="s">
        <v>668</v>
      </c>
      <c r="E852" s="436">
        <v>1</v>
      </c>
      <c r="F852" s="436"/>
      <c r="G852" s="436">
        <f t="shared" si="116"/>
        <v>0</v>
      </c>
    </row>
    <row r="853" spans="1:7">
      <c r="A853" s="97">
        <v>4</v>
      </c>
      <c r="B853" s="144"/>
      <c r="C853" s="144" t="s">
        <v>51</v>
      </c>
      <c r="D853" s="431" t="s">
        <v>112</v>
      </c>
      <c r="E853" s="436">
        <v>1</v>
      </c>
      <c r="F853" s="436"/>
      <c r="G853" s="436">
        <f t="shared" si="116"/>
        <v>0</v>
      </c>
    </row>
    <row r="854" spans="1:7">
      <c r="A854" s="97">
        <v>5</v>
      </c>
      <c r="B854" s="441"/>
      <c r="C854" s="144" t="s">
        <v>51</v>
      </c>
      <c r="D854" s="431" t="s">
        <v>109</v>
      </c>
      <c r="E854" s="436">
        <v>1.5</v>
      </c>
      <c r="F854" s="436"/>
      <c r="G854" s="436">
        <f t="shared" si="116"/>
        <v>0</v>
      </c>
    </row>
    <row r="855" spans="1:7">
      <c r="A855" s="144"/>
      <c r="B855" s="144"/>
      <c r="C855" s="144"/>
      <c r="D855" s="445" t="s">
        <v>132</v>
      </c>
      <c r="E855" s="451">
        <v>1</v>
      </c>
      <c r="F855" s="453">
        <f>G850+G851+G852+G853+G854</f>
        <v>0</v>
      </c>
      <c r="G855" s="447">
        <f t="shared" si="116"/>
        <v>0</v>
      </c>
    </row>
    <row r="856" spans="1:7">
      <c r="A856" s="382"/>
      <c r="B856" s="382"/>
      <c r="C856" s="382"/>
      <c r="D856" s="382"/>
      <c r="E856" s="382"/>
      <c r="F856" s="382"/>
      <c r="G856" s="382"/>
    </row>
    <row r="857" spans="1:7" ht="29.25">
      <c r="A857" s="97" t="s">
        <v>669</v>
      </c>
      <c r="B857" s="97" t="s">
        <v>106</v>
      </c>
      <c r="C857" s="144"/>
      <c r="D857" s="498" t="s">
        <v>670</v>
      </c>
      <c r="E857" s="436"/>
      <c r="F857" s="436"/>
      <c r="G857" s="436"/>
    </row>
    <row r="858" spans="1:7" ht="25.5">
      <c r="A858" s="144"/>
      <c r="B858" s="144"/>
      <c r="C858" s="144" t="s">
        <v>121</v>
      </c>
      <c r="D858" s="103" t="s">
        <v>671</v>
      </c>
      <c r="E858" s="436">
        <v>3.45</v>
      </c>
      <c r="F858" s="436"/>
      <c r="G858" s="436">
        <f t="shared" ref="G858:G861" si="117">F858*E858</f>
        <v>0</v>
      </c>
    </row>
    <row r="859" spans="1:7">
      <c r="A859" s="144"/>
      <c r="B859" s="144"/>
      <c r="C859" s="144" t="s">
        <v>51</v>
      </c>
      <c r="D859" s="431" t="s">
        <v>668</v>
      </c>
      <c r="E859" s="436">
        <v>1</v>
      </c>
      <c r="F859" s="436"/>
      <c r="G859" s="436">
        <f t="shared" si="117"/>
        <v>0</v>
      </c>
    </row>
    <row r="860" spans="1:7">
      <c r="A860" s="144"/>
      <c r="B860" s="144"/>
      <c r="C860" s="144" t="s">
        <v>51</v>
      </c>
      <c r="D860" s="431" t="s">
        <v>112</v>
      </c>
      <c r="E860" s="436">
        <v>1</v>
      </c>
      <c r="F860" s="436"/>
      <c r="G860" s="436">
        <f t="shared" si="117"/>
        <v>0</v>
      </c>
    </row>
    <row r="861" spans="1:7">
      <c r="A861" s="457"/>
      <c r="B861" s="457"/>
      <c r="C861" s="457"/>
      <c r="D861" s="445" t="s">
        <v>132</v>
      </c>
      <c r="E861" s="451">
        <v>1</v>
      </c>
      <c r="F861" s="453">
        <f>G859+G860</f>
        <v>0</v>
      </c>
      <c r="G861" s="447">
        <f t="shared" si="117"/>
        <v>0</v>
      </c>
    </row>
    <row r="862" spans="1:7">
      <c r="A862" s="382"/>
      <c r="B862" s="382"/>
      <c r="C862" s="382"/>
      <c r="D862" s="382"/>
      <c r="E862" s="382"/>
      <c r="F862" s="382"/>
      <c r="G862" s="382"/>
    </row>
    <row r="863" spans="1:7" ht="22.5" customHeight="1">
      <c r="A863" s="97" t="s">
        <v>672</v>
      </c>
      <c r="B863" s="144"/>
      <c r="C863" s="144" t="s">
        <v>60</v>
      </c>
      <c r="D863" s="103" t="s">
        <v>673</v>
      </c>
      <c r="E863" s="436">
        <v>1</v>
      </c>
      <c r="F863" s="436"/>
      <c r="G863" s="436">
        <f t="shared" ref="G863:G867" si="118">F863*E863</f>
        <v>0</v>
      </c>
    </row>
    <row r="864" spans="1:7" ht="31.5" customHeight="1">
      <c r="A864" s="144"/>
      <c r="B864" s="144"/>
      <c r="C864" s="144" t="s">
        <v>267</v>
      </c>
      <c r="D864" s="431" t="s">
        <v>421</v>
      </c>
      <c r="E864" s="436">
        <v>4</v>
      </c>
      <c r="F864" s="436"/>
      <c r="G864" s="436">
        <f t="shared" si="118"/>
        <v>0</v>
      </c>
    </row>
    <row r="865" spans="1:26">
      <c r="A865" s="144"/>
      <c r="B865" s="144"/>
      <c r="C865" s="144" t="s">
        <v>51</v>
      </c>
      <c r="D865" s="431" t="s">
        <v>424</v>
      </c>
      <c r="E865" s="436">
        <v>0.3</v>
      </c>
      <c r="F865" s="436"/>
      <c r="G865" s="436">
        <f t="shared" si="118"/>
        <v>0</v>
      </c>
    </row>
    <row r="866" spans="1:26">
      <c r="A866" s="144"/>
      <c r="B866" s="144"/>
      <c r="C866" s="144" t="s">
        <v>51</v>
      </c>
      <c r="D866" s="431" t="s">
        <v>112</v>
      </c>
      <c r="E866" s="436">
        <v>1</v>
      </c>
      <c r="F866" s="436"/>
      <c r="G866" s="436">
        <f t="shared" si="118"/>
        <v>0</v>
      </c>
    </row>
    <row r="867" spans="1:26">
      <c r="A867" s="144"/>
      <c r="B867" s="144"/>
      <c r="C867" s="144"/>
      <c r="D867" s="445" t="s">
        <v>132</v>
      </c>
      <c r="E867" s="451">
        <v>1</v>
      </c>
      <c r="F867" s="453">
        <f>G864+G865+G863+G866</f>
        <v>0</v>
      </c>
      <c r="G867" s="447">
        <f t="shared" si="118"/>
        <v>0</v>
      </c>
    </row>
    <row r="868" spans="1:26">
      <c r="A868" s="382"/>
      <c r="B868" s="382"/>
      <c r="C868" s="382"/>
      <c r="D868" s="382"/>
      <c r="E868" s="382"/>
      <c r="F868" s="382"/>
      <c r="G868" s="382"/>
    </row>
    <row r="869" spans="1:26" ht="44.25" customHeight="1">
      <c r="A869" s="144" t="str">
        <f>Sintetico!B245</f>
        <v>C081.1</v>
      </c>
      <c r="B869" s="97" t="s">
        <v>106</v>
      </c>
      <c r="C869" s="97" t="s">
        <v>45</v>
      </c>
      <c r="D869" s="431" t="str">
        <f>Sintetico!D245</f>
        <v>EXECUÇÃO DE DEGRAUS COM DIMENSÕES COMP.:1,45 M, LARGURA=0,29 CM, ESPELHO=22,5 M, EM ARQUIBANCADA, PRENCHIDO COM ALVENARIA  9X19X19, REVESTIDO EM CAMADA EM CAMADA DE CONCRETO DE 5 CM.</v>
      </c>
      <c r="E869" s="442"/>
      <c r="F869" s="442"/>
      <c r="G869" s="442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25.5" customHeight="1">
      <c r="A870" s="97">
        <v>1</v>
      </c>
      <c r="B870" s="97"/>
      <c r="C870" s="97" t="s">
        <v>82</v>
      </c>
      <c r="D870" s="103" t="s">
        <v>675</v>
      </c>
      <c r="E870" s="436">
        <f>(1.45*0.29*0.225)</f>
        <v>9.4612500000000002E-2</v>
      </c>
      <c r="F870" s="502"/>
      <c r="G870" s="442">
        <f t="shared" ref="G870:G872" si="119">F870*E870</f>
        <v>0</v>
      </c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25.5" customHeight="1">
      <c r="A871" s="97">
        <v>2</v>
      </c>
      <c r="B871" s="97"/>
      <c r="C871" s="97" t="s">
        <v>60</v>
      </c>
      <c r="D871" s="103" t="s">
        <v>676</v>
      </c>
      <c r="E871" s="442">
        <f>1.45*0.29+(0.225*1.45)+0.29*0.225</f>
        <v>0.81200000000000006</v>
      </c>
      <c r="F871" s="502"/>
      <c r="G871" s="442">
        <f t="shared" si="119"/>
        <v>0</v>
      </c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25.5" customHeight="1">
      <c r="A872" s="144"/>
      <c r="B872" s="144"/>
      <c r="C872" s="144"/>
      <c r="D872" s="445" t="s">
        <v>132</v>
      </c>
      <c r="E872" s="451">
        <v>1</v>
      </c>
      <c r="F872" s="453">
        <f>G870+G871</f>
        <v>0</v>
      </c>
      <c r="G872" s="447">
        <f t="shared" si="119"/>
        <v>0</v>
      </c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25.5" customHeight="1">
      <c r="A873" s="382"/>
      <c r="B873" s="382"/>
      <c r="C873" s="382"/>
      <c r="D873" s="382"/>
      <c r="E873" s="382"/>
      <c r="F873" s="382"/>
      <c r="G873" s="382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35.25" customHeight="1">
      <c r="A874" s="144" t="s">
        <v>382</v>
      </c>
      <c r="B874" s="144" t="s">
        <v>106</v>
      </c>
      <c r="C874" s="97" t="s">
        <v>70</v>
      </c>
      <c r="D874" s="103" t="str">
        <f>Sintetico!D246</f>
        <v>GUARDA CORPO LATERAL DA QUADRA EM  AÇO GALVANIZADO DE 1,10M, TRAVESSA SUPERIOR E INFERIOR DE 1.1/2", GRADIL TELA ARTISTICA MALHA 2X2.</v>
      </c>
      <c r="E874" s="442"/>
      <c r="F874" s="442"/>
      <c r="G874" s="442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25.5" customHeight="1">
      <c r="A875" s="144">
        <v>1</v>
      </c>
      <c r="B875" s="148"/>
      <c r="C875" s="148" t="s">
        <v>60</v>
      </c>
      <c r="D875" s="103" t="s">
        <v>677</v>
      </c>
      <c r="E875" s="508">
        <f>1.1*1</f>
        <v>1.1000000000000001</v>
      </c>
      <c r="F875" s="459"/>
      <c r="G875" s="436">
        <f t="shared" ref="G875:G880" si="120">F875*E875</f>
        <v>0</v>
      </c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2.75" customHeight="1">
      <c r="A876" s="144">
        <v>3</v>
      </c>
      <c r="B876" s="441"/>
      <c r="C876" s="441" t="s">
        <v>51</v>
      </c>
      <c r="D876" s="431" t="s">
        <v>113</v>
      </c>
      <c r="E876" s="509">
        <v>0.17780000000000001</v>
      </c>
      <c r="F876" s="438"/>
      <c r="G876" s="436">
        <f t="shared" si="120"/>
        <v>0</v>
      </c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2.75" customHeight="1">
      <c r="A877" s="144">
        <v>4</v>
      </c>
      <c r="B877" s="441"/>
      <c r="C877" s="441" t="s">
        <v>51</v>
      </c>
      <c r="D877" s="431" t="s">
        <v>109</v>
      </c>
      <c r="E877" s="510">
        <v>1.5</v>
      </c>
      <c r="F877" s="442"/>
      <c r="G877" s="436">
        <f t="shared" si="120"/>
        <v>0</v>
      </c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2.75" customHeight="1">
      <c r="A878" s="144">
        <v>5</v>
      </c>
      <c r="B878" s="441"/>
      <c r="C878" s="441" t="s">
        <v>51</v>
      </c>
      <c r="D878" s="431" t="s">
        <v>112</v>
      </c>
      <c r="E878" s="510">
        <v>0.2</v>
      </c>
      <c r="F878" s="442"/>
      <c r="G878" s="436">
        <f t="shared" si="120"/>
        <v>0</v>
      </c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25.5" customHeight="1">
      <c r="A879" s="144">
        <v>6</v>
      </c>
      <c r="B879" s="441"/>
      <c r="C879" s="441" t="s">
        <v>82</v>
      </c>
      <c r="D879" s="431" t="s">
        <v>117</v>
      </c>
      <c r="E879" s="512">
        <v>2.5000000000000001E-4</v>
      </c>
      <c r="F879" s="442"/>
      <c r="G879" s="436">
        <f t="shared" si="120"/>
        <v>0</v>
      </c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2.75" customHeight="1">
      <c r="A880" s="144"/>
      <c r="B880" s="431"/>
      <c r="C880" s="431"/>
      <c r="D880" s="445" t="s">
        <v>132</v>
      </c>
      <c r="E880" s="451">
        <v>1</v>
      </c>
      <c r="F880" s="453">
        <f>G876+G877+G878+G879+G875</f>
        <v>0</v>
      </c>
      <c r="G880" s="447">
        <f t="shared" si="120"/>
        <v>0</v>
      </c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2.75" customHeight="1">
      <c r="A881" s="382"/>
      <c r="B881" s="382"/>
      <c r="C881" s="382"/>
      <c r="D881" s="382"/>
      <c r="E881" s="382"/>
      <c r="F881" s="382"/>
      <c r="G881" s="382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42.75" customHeight="1">
      <c r="A882" s="144" t="s">
        <v>679</v>
      </c>
      <c r="B882" s="144" t="s">
        <v>106</v>
      </c>
      <c r="C882" s="97" t="s">
        <v>60</v>
      </c>
      <c r="D882" s="103" t="s">
        <v>680</v>
      </c>
      <c r="E882" s="442"/>
      <c r="F882" s="442"/>
      <c r="G882" s="442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38.25" customHeight="1">
      <c r="A883" s="144">
        <v>1</v>
      </c>
      <c r="B883" s="148"/>
      <c r="C883" s="97" t="s">
        <v>60</v>
      </c>
      <c r="D883" s="513" t="s">
        <v>680</v>
      </c>
      <c r="E883" s="459">
        <v>1</v>
      </c>
      <c r="F883" s="459"/>
      <c r="G883" s="436">
        <f t="shared" ref="G883:G887" si="121">F883*E883</f>
        <v>0</v>
      </c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2.75" customHeight="1">
      <c r="A884" s="144">
        <v>2</v>
      </c>
      <c r="B884" s="441"/>
      <c r="C884" s="144" t="s">
        <v>51</v>
      </c>
      <c r="D884" s="431" t="s">
        <v>113</v>
      </c>
      <c r="E884" s="436">
        <v>3.464</v>
      </c>
      <c r="F884" s="436"/>
      <c r="G884" s="436">
        <f t="shared" si="121"/>
        <v>0</v>
      </c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2.75" customHeight="1">
      <c r="A885" s="144">
        <v>3</v>
      </c>
      <c r="B885" s="441"/>
      <c r="C885" s="441" t="s">
        <v>51</v>
      </c>
      <c r="D885" s="431" t="s">
        <v>112</v>
      </c>
      <c r="E885" s="436">
        <v>1.732</v>
      </c>
      <c r="F885" s="436"/>
      <c r="G885" s="436">
        <f t="shared" si="121"/>
        <v>0</v>
      </c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25.5" customHeight="1">
      <c r="A886" s="144">
        <v>4</v>
      </c>
      <c r="B886" s="441"/>
      <c r="C886" s="441" t="s">
        <v>82</v>
      </c>
      <c r="D886" s="431" t="s">
        <v>338</v>
      </c>
      <c r="E886" s="436">
        <v>4.2200000000000001E-2</v>
      </c>
      <c r="F886" s="436"/>
      <c r="G886" s="436">
        <f t="shared" si="121"/>
        <v>0</v>
      </c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2.75" customHeight="1">
      <c r="A887" s="431"/>
      <c r="B887" s="431"/>
      <c r="C887" s="431"/>
      <c r="D887" s="445" t="s">
        <v>132</v>
      </c>
      <c r="E887" s="451">
        <v>1</v>
      </c>
      <c r="F887" s="453">
        <f>G883+G884+G885+G886</f>
        <v>0</v>
      </c>
      <c r="G887" s="447">
        <f t="shared" si="121"/>
        <v>0</v>
      </c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2.75" customHeight="1">
      <c r="A888" s="382"/>
      <c r="B888" s="515"/>
      <c r="C888" s="515"/>
      <c r="D888" s="448"/>
      <c r="E888" s="449"/>
      <c r="F888" s="449"/>
      <c r="G888" s="449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2.75" customHeight="1">
      <c r="A889" s="97" t="s">
        <v>681</v>
      </c>
      <c r="B889" s="144" t="s">
        <v>106</v>
      </c>
      <c r="C889" s="144" t="s">
        <v>45</v>
      </c>
      <c r="D889" s="103" t="s">
        <v>682</v>
      </c>
      <c r="E889" s="442"/>
      <c r="F889" s="442"/>
      <c r="G889" s="442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31.5" customHeight="1">
      <c r="A890" s="144">
        <v>1</v>
      </c>
      <c r="B890" s="148"/>
      <c r="C890" s="144" t="s">
        <v>45</v>
      </c>
      <c r="D890" s="431" t="s">
        <v>683</v>
      </c>
      <c r="E890" s="459">
        <v>1</v>
      </c>
      <c r="F890" s="436"/>
      <c r="G890" s="436">
        <f t="shared" ref="G890:G894" si="122">F890*E890</f>
        <v>0</v>
      </c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2.75" customHeight="1">
      <c r="A891" s="144">
        <v>2</v>
      </c>
      <c r="B891" s="441"/>
      <c r="C891" s="144" t="s">
        <v>51</v>
      </c>
      <c r="D891" s="431" t="s">
        <v>113</v>
      </c>
      <c r="E891" s="436">
        <v>3.464</v>
      </c>
      <c r="F891" s="436"/>
      <c r="G891" s="436">
        <f t="shared" si="122"/>
        <v>0</v>
      </c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2.75" customHeight="1">
      <c r="A892" s="144">
        <v>3</v>
      </c>
      <c r="B892" s="441"/>
      <c r="C892" s="441" t="s">
        <v>51</v>
      </c>
      <c r="D892" s="431" t="s">
        <v>112</v>
      </c>
      <c r="E892" s="436">
        <v>1.732</v>
      </c>
      <c r="F892" s="436"/>
      <c r="G892" s="436">
        <f t="shared" si="122"/>
        <v>0</v>
      </c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2.75" customHeight="1">
      <c r="A893" s="144">
        <v>4</v>
      </c>
      <c r="B893" s="441"/>
      <c r="C893" s="441" t="s">
        <v>82</v>
      </c>
      <c r="D893" s="431" t="s">
        <v>338</v>
      </c>
      <c r="E893" s="436">
        <v>4.2200000000000001E-2</v>
      </c>
      <c r="F893" s="436"/>
      <c r="G893" s="436">
        <f t="shared" si="122"/>
        <v>0</v>
      </c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2.75" customHeight="1">
      <c r="A894" s="431"/>
      <c r="B894" s="431"/>
      <c r="C894" s="431"/>
      <c r="D894" s="445" t="s">
        <v>132</v>
      </c>
      <c r="E894" s="451">
        <v>1</v>
      </c>
      <c r="F894" s="453">
        <f>G890+G891+G892+G893</f>
        <v>0</v>
      </c>
      <c r="G894" s="447">
        <f t="shared" si="122"/>
        <v>0</v>
      </c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2.75" customHeight="1">
      <c r="A895" s="382"/>
      <c r="B895" s="382"/>
      <c r="C895" s="382"/>
      <c r="D895" s="382"/>
      <c r="E895" s="382"/>
      <c r="F895" s="382"/>
      <c r="G895" s="382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25.5" customHeight="1">
      <c r="A896" s="97" t="s">
        <v>684</v>
      </c>
      <c r="B896" s="97" t="s">
        <v>685</v>
      </c>
      <c r="C896" s="97" t="s">
        <v>674</v>
      </c>
      <c r="D896" s="103" t="s">
        <v>686</v>
      </c>
      <c r="E896" s="436"/>
      <c r="F896" s="436"/>
      <c r="G896" s="436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25.5" customHeight="1">
      <c r="A897" s="97">
        <v>1</v>
      </c>
      <c r="B897" s="441"/>
      <c r="C897" s="144" t="s">
        <v>51</v>
      </c>
      <c r="D897" s="431" t="s">
        <v>113</v>
      </c>
      <c r="E897" s="436">
        <v>3.464</v>
      </c>
      <c r="F897" s="436"/>
      <c r="G897" s="436">
        <f t="shared" ref="G897:G900" si="123">F897*E897</f>
        <v>0</v>
      </c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25.5" customHeight="1">
      <c r="A898" s="97">
        <v>2</v>
      </c>
      <c r="B898" s="441"/>
      <c r="C898" s="441" t="s">
        <v>51</v>
      </c>
      <c r="D898" s="431" t="s">
        <v>112</v>
      </c>
      <c r="E898" s="436">
        <v>1.732</v>
      </c>
      <c r="F898" s="436"/>
      <c r="G898" s="436">
        <f t="shared" si="123"/>
        <v>0</v>
      </c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25.5" customHeight="1">
      <c r="A899" s="97">
        <v>3</v>
      </c>
      <c r="B899" s="441"/>
      <c r="C899" s="441" t="s">
        <v>82</v>
      </c>
      <c r="D899" s="431" t="s">
        <v>338</v>
      </c>
      <c r="E899" s="436">
        <v>4.2200000000000001E-2</v>
      </c>
      <c r="F899" s="436"/>
      <c r="G899" s="436">
        <f t="shared" si="123"/>
        <v>0</v>
      </c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25.5" customHeight="1">
      <c r="A900" s="144"/>
      <c r="B900" s="144"/>
      <c r="C900" s="144"/>
      <c r="D900" s="445" t="s">
        <v>132</v>
      </c>
      <c r="E900" s="451">
        <v>1</v>
      </c>
      <c r="F900" s="453">
        <f>G896+G897+G898+G899</f>
        <v>0</v>
      </c>
      <c r="G900" s="447">
        <f t="shared" si="123"/>
        <v>0</v>
      </c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>
      <c r="A901" s="382"/>
      <c r="B901" s="382"/>
      <c r="C901" s="382"/>
      <c r="D901" s="382"/>
      <c r="E901" s="382"/>
      <c r="F901" s="382"/>
      <c r="G901" s="382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42" customHeight="1">
      <c r="A902" s="107" t="s">
        <v>687</v>
      </c>
      <c r="B902" s="516" t="s">
        <v>106</v>
      </c>
      <c r="C902" s="516"/>
      <c r="D902" s="517" t="s">
        <v>689</v>
      </c>
      <c r="E902" s="516"/>
      <c r="F902" s="516"/>
      <c r="G902" s="516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39.75" customHeight="1">
      <c r="A903" s="516"/>
      <c r="B903" s="107"/>
      <c r="C903" s="107" t="s">
        <v>45</v>
      </c>
      <c r="D903" s="517" t="s">
        <v>690</v>
      </c>
      <c r="E903" s="518">
        <v>1.1000000000000001</v>
      </c>
      <c r="F903" s="518"/>
      <c r="G903" s="519">
        <f t="shared" ref="G903:G907" si="124">F903*E903</f>
        <v>0</v>
      </c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25.5" customHeight="1">
      <c r="A904" s="516"/>
      <c r="B904" s="520"/>
      <c r="C904" s="521" t="s">
        <v>51</v>
      </c>
      <c r="D904" s="522" t="s">
        <v>113</v>
      </c>
      <c r="E904" s="523">
        <v>3.464</v>
      </c>
      <c r="F904" s="523"/>
      <c r="G904" s="523">
        <f t="shared" si="124"/>
        <v>0</v>
      </c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26.25" customHeight="1">
      <c r="A905" s="516"/>
      <c r="B905" s="520"/>
      <c r="C905" s="520" t="s">
        <v>51</v>
      </c>
      <c r="D905" s="522" t="s">
        <v>112</v>
      </c>
      <c r="E905" s="523">
        <v>1.732</v>
      </c>
      <c r="F905" s="523"/>
      <c r="G905" s="523">
        <f t="shared" si="124"/>
        <v>0</v>
      </c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42.75" customHeight="1">
      <c r="A906" s="516"/>
      <c r="B906" s="520"/>
      <c r="C906" s="520" t="s">
        <v>82</v>
      </c>
      <c r="D906" s="522" t="s">
        <v>338</v>
      </c>
      <c r="E906" s="523">
        <v>4.2200000000000001E-2</v>
      </c>
      <c r="F906" s="523"/>
      <c r="G906" s="523">
        <f t="shared" si="124"/>
        <v>0</v>
      </c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7.25" customHeight="1">
      <c r="A907" s="516"/>
      <c r="B907" s="516"/>
      <c r="C907" s="516"/>
      <c r="D907" s="524" t="s">
        <v>132</v>
      </c>
      <c r="E907" s="525">
        <v>1</v>
      </c>
      <c r="F907" s="526">
        <f>G904+G905+G906+G903</f>
        <v>0</v>
      </c>
      <c r="G907" s="527">
        <f t="shared" si="124"/>
        <v>0</v>
      </c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25.5" customHeight="1">
      <c r="A908" s="249"/>
      <c r="B908" s="249"/>
      <c r="C908" s="249"/>
      <c r="D908" s="528"/>
      <c r="E908" s="529"/>
      <c r="F908" s="529"/>
      <c r="G908" s="529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25.5" customHeight="1">
      <c r="A909" s="144" t="s">
        <v>692</v>
      </c>
      <c r="B909" s="144" t="s">
        <v>106</v>
      </c>
      <c r="C909" s="144" t="s">
        <v>125</v>
      </c>
      <c r="D909" s="431" t="s">
        <v>693</v>
      </c>
      <c r="E909" s="436"/>
      <c r="F909" s="436"/>
      <c r="G909" s="436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2.75" customHeight="1">
      <c r="A910" s="144">
        <v>1</v>
      </c>
      <c r="B910" s="144"/>
      <c r="C910" s="144" t="s">
        <v>51</v>
      </c>
      <c r="D910" s="431" t="s">
        <v>113</v>
      </c>
      <c r="E910" s="436">
        <v>0.54900000000000004</v>
      </c>
      <c r="F910" s="436"/>
      <c r="G910" s="436">
        <f t="shared" ref="G910:G913" si="125">F910*E910</f>
        <v>0</v>
      </c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2.75" customHeight="1">
      <c r="A911" s="144">
        <v>2</v>
      </c>
      <c r="B911" s="144"/>
      <c r="C911" s="144" t="s">
        <v>51</v>
      </c>
      <c r="D911" s="431" t="s">
        <v>397</v>
      </c>
      <c r="E911" s="436">
        <v>1.49</v>
      </c>
      <c r="F911" s="436"/>
      <c r="G911" s="436">
        <f t="shared" si="125"/>
        <v>0</v>
      </c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2.75" customHeight="1">
      <c r="A912" s="144">
        <v>3</v>
      </c>
      <c r="B912" s="144"/>
      <c r="C912" s="144" t="s">
        <v>51</v>
      </c>
      <c r="D912" s="431" t="s">
        <v>112</v>
      </c>
      <c r="E912" s="436">
        <v>0.54900000000000004</v>
      </c>
      <c r="F912" s="436"/>
      <c r="G912" s="436">
        <f t="shared" si="125"/>
        <v>0</v>
      </c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2.75" customHeight="1">
      <c r="A913" s="144">
        <v>4</v>
      </c>
      <c r="B913" s="144"/>
      <c r="C913" s="144" t="s">
        <v>121</v>
      </c>
      <c r="D913" s="431" t="s">
        <v>168</v>
      </c>
      <c r="E913" s="436">
        <v>5</v>
      </c>
      <c r="F913" s="436"/>
      <c r="G913" s="436">
        <f t="shared" si="125"/>
        <v>0</v>
      </c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2.75" customHeight="1">
      <c r="A914" s="441"/>
      <c r="B914" s="441"/>
      <c r="C914" s="441"/>
      <c r="D914" s="445" t="s">
        <v>132</v>
      </c>
      <c r="E914" s="447">
        <v>1</v>
      </c>
      <c r="F914" s="447">
        <f>SUM(G910:G913)</f>
        <v>0</v>
      </c>
      <c r="G914" s="447">
        <f>ROUND(E914*F914,2)</f>
        <v>0</v>
      </c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2.75" customHeight="1">
      <c r="A915" s="382"/>
      <c r="B915" s="382"/>
      <c r="C915" s="382"/>
      <c r="D915" s="382"/>
      <c r="E915" s="382"/>
      <c r="F915" s="382"/>
      <c r="G915" s="382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2.75" customHeight="1">
      <c r="A916" s="382"/>
      <c r="B916" s="382"/>
      <c r="C916" s="382"/>
      <c r="D916" s="382"/>
      <c r="E916" s="382"/>
      <c r="F916" s="382"/>
      <c r="G916" s="382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25.5" customHeight="1">
      <c r="A917" s="144" t="s">
        <v>501</v>
      </c>
      <c r="B917" s="144" t="s">
        <v>106</v>
      </c>
      <c r="C917" s="144" t="s">
        <v>45</v>
      </c>
      <c r="D917" s="431" t="s">
        <v>502</v>
      </c>
      <c r="E917" s="436"/>
      <c r="F917" s="436"/>
      <c r="G917" s="436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38.25" customHeight="1">
      <c r="A918" s="97">
        <v>1</v>
      </c>
      <c r="B918" s="441"/>
      <c r="C918" s="441" t="s">
        <v>267</v>
      </c>
      <c r="D918" s="431" t="s">
        <v>696</v>
      </c>
      <c r="E918" s="436">
        <v>1</v>
      </c>
      <c r="F918" s="442"/>
      <c r="G918" s="462">
        <f t="shared" ref="G918:G922" si="126">F918*E918</f>
        <v>0</v>
      </c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2.75" customHeight="1">
      <c r="A919" s="97">
        <v>2</v>
      </c>
      <c r="B919" s="441"/>
      <c r="C919" s="441" t="s">
        <v>307</v>
      </c>
      <c r="D919" s="431" t="s">
        <v>697</v>
      </c>
      <c r="E919" s="436">
        <v>3.15</v>
      </c>
      <c r="F919" s="442"/>
      <c r="G919" s="462">
        <f t="shared" si="126"/>
        <v>0</v>
      </c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38.25" customHeight="1">
      <c r="A920" s="97">
        <v>3</v>
      </c>
      <c r="B920" s="441"/>
      <c r="C920" s="441" t="s">
        <v>125</v>
      </c>
      <c r="D920" s="431" t="s">
        <v>699</v>
      </c>
      <c r="E920" s="436">
        <v>1</v>
      </c>
      <c r="F920" s="442"/>
      <c r="G920" s="462">
        <f t="shared" si="126"/>
        <v>0</v>
      </c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2.75" customHeight="1">
      <c r="A921" s="97">
        <v>4</v>
      </c>
      <c r="B921" s="441"/>
      <c r="C921" s="441" t="s">
        <v>51</v>
      </c>
      <c r="D921" s="431" t="s">
        <v>377</v>
      </c>
      <c r="E921" s="436">
        <v>1</v>
      </c>
      <c r="F921" s="462"/>
      <c r="G921" s="462">
        <f t="shared" si="126"/>
        <v>0</v>
      </c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2.75" customHeight="1">
      <c r="A922" s="97">
        <v>5</v>
      </c>
      <c r="B922" s="441"/>
      <c r="C922" s="441" t="s">
        <v>51</v>
      </c>
      <c r="D922" s="431" t="s">
        <v>700</v>
      </c>
      <c r="E922" s="436">
        <v>1</v>
      </c>
      <c r="F922" s="542"/>
      <c r="G922" s="542">
        <f t="shared" si="126"/>
        <v>0</v>
      </c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2.75" customHeight="1">
      <c r="A923" s="144"/>
      <c r="B923" s="144"/>
      <c r="C923" s="144"/>
      <c r="D923" s="445" t="s">
        <v>132</v>
      </c>
      <c r="E923" s="447">
        <v>1</v>
      </c>
      <c r="F923" s="447">
        <f>SUM(G918:G922)</f>
        <v>0</v>
      </c>
      <c r="G923" s="447">
        <f>ROUND(E923*F923,2)</f>
        <v>0</v>
      </c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2.75" customHeight="1">
      <c r="A924" s="382"/>
      <c r="B924" s="382"/>
      <c r="C924" s="382"/>
      <c r="D924" s="382"/>
      <c r="E924" s="382"/>
      <c r="F924" s="382"/>
      <c r="G924" s="382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25.5" customHeight="1">
      <c r="A925" s="144" t="str">
        <f>Sintetico!B366</f>
        <v>C084.1</v>
      </c>
      <c r="B925" s="97" t="s">
        <v>106</v>
      </c>
      <c r="C925" s="148" t="s">
        <v>70</v>
      </c>
      <c r="D925" s="431" t="str">
        <f>Sintetico!D366</f>
        <v>RETIRADA DE GRAMA</v>
      </c>
      <c r="E925" s="436"/>
      <c r="F925" s="436"/>
      <c r="G925" s="436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25.5" customHeight="1">
      <c r="A926" s="97">
        <v>1</v>
      </c>
      <c r="B926" s="441"/>
      <c r="C926" s="441" t="s">
        <v>51</v>
      </c>
      <c r="D926" s="431" t="s">
        <v>700</v>
      </c>
      <c r="E926" s="459">
        <v>0.3</v>
      </c>
      <c r="F926" s="542"/>
      <c r="G926" s="542">
        <f>F926*E926</f>
        <v>0</v>
      </c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25.5" customHeight="1">
      <c r="A927" s="144"/>
      <c r="B927" s="144"/>
      <c r="C927" s="441"/>
      <c r="D927" s="445" t="s">
        <v>132</v>
      </c>
      <c r="E927" s="447">
        <v>1</v>
      </c>
      <c r="F927" s="447">
        <f>SUM(G925:G926)</f>
        <v>0</v>
      </c>
      <c r="G927" s="447">
        <f>ROUND(E927*F927,2)</f>
        <v>0</v>
      </c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3.5" customHeight="1">
      <c r="A928" s="662"/>
      <c r="B928" s="662"/>
      <c r="C928" s="663"/>
      <c r="D928" s="664"/>
      <c r="E928" s="665"/>
      <c r="F928" s="665"/>
      <c r="G928" s="665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25.5" customHeight="1">
      <c r="A929" s="144" t="s">
        <v>702</v>
      </c>
      <c r="B929" s="144" t="s">
        <v>106</v>
      </c>
      <c r="C929" s="441" t="s">
        <v>70</v>
      </c>
      <c r="D929" s="431" t="s">
        <v>703</v>
      </c>
      <c r="E929" s="436"/>
      <c r="F929" s="436"/>
      <c r="G929" s="436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25.5" customHeight="1">
      <c r="A930" s="97">
        <v>1</v>
      </c>
      <c r="B930" s="441"/>
      <c r="C930" s="441" t="s">
        <v>310</v>
      </c>
      <c r="D930" s="431" t="s">
        <v>311</v>
      </c>
      <c r="E930" s="436">
        <v>8.1000000000000003E-2</v>
      </c>
      <c r="F930" s="551"/>
      <c r="G930" s="462">
        <f t="shared" ref="G930:G935" si="127">F930*E930</f>
        <v>0</v>
      </c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2.75" customHeight="1">
      <c r="A931" s="97">
        <v>2</v>
      </c>
      <c r="B931" s="441"/>
      <c r="C931" s="441" t="s">
        <v>121</v>
      </c>
      <c r="D931" s="431" t="s">
        <v>195</v>
      </c>
      <c r="E931" s="508">
        <v>2.3999999999999998E-3</v>
      </c>
      <c r="F931" s="551"/>
      <c r="G931" s="462">
        <f t="shared" si="127"/>
        <v>0</v>
      </c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2.75" customHeight="1">
      <c r="A932" s="97">
        <v>3</v>
      </c>
      <c r="B932" s="148"/>
      <c r="C932" s="441" t="s">
        <v>70</v>
      </c>
      <c r="D932" s="431" t="s">
        <v>705</v>
      </c>
      <c r="E932" s="459">
        <v>1</v>
      </c>
      <c r="F932" s="551"/>
      <c r="G932" s="462">
        <f t="shared" si="127"/>
        <v>0</v>
      </c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2.75" customHeight="1">
      <c r="A933" s="97">
        <v>4</v>
      </c>
      <c r="B933" s="441"/>
      <c r="C933" s="441" t="s">
        <v>51</v>
      </c>
      <c r="D933" s="431" t="s">
        <v>112</v>
      </c>
      <c r="E933" s="459">
        <v>0.3</v>
      </c>
      <c r="F933" s="551"/>
      <c r="G933" s="462">
        <f t="shared" si="127"/>
        <v>0</v>
      </c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2.75" customHeight="1">
      <c r="A934" s="97">
        <v>5</v>
      </c>
      <c r="B934" s="441"/>
      <c r="C934" s="441" t="s">
        <v>51</v>
      </c>
      <c r="D934" s="431" t="s">
        <v>424</v>
      </c>
      <c r="E934" s="459">
        <v>0.3</v>
      </c>
      <c r="F934" s="556"/>
      <c r="G934" s="542">
        <f t="shared" si="127"/>
        <v>0</v>
      </c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>
      <c r="A935" s="441"/>
      <c r="B935" s="441"/>
      <c r="C935" s="441"/>
      <c r="D935" s="557" t="s">
        <v>132</v>
      </c>
      <c r="E935" s="447">
        <v>1</v>
      </c>
      <c r="F935" s="447">
        <f>SUM(G930:G934)</f>
        <v>0</v>
      </c>
      <c r="G935" s="447">
        <f t="shared" si="127"/>
        <v>0</v>
      </c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2.75" customHeight="1">
      <c r="A936" s="558"/>
      <c r="B936" s="559"/>
      <c r="C936" s="558"/>
      <c r="D936" s="560"/>
      <c r="E936" s="561"/>
      <c r="F936" s="562"/>
      <c r="G936" s="562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47.25" customHeight="1">
      <c r="A937" s="148" t="s">
        <v>706</v>
      </c>
      <c r="B937" s="144" t="s">
        <v>106</v>
      </c>
      <c r="C937" s="148" t="s">
        <v>70</v>
      </c>
      <c r="D937" s="103" t="s">
        <v>707</v>
      </c>
      <c r="E937" s="123"/>
      <c r="F937" s="123"/>
      <c r="G937" s="123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34.5" customHeight="1">
      <c r="A938" s="148"/>
      <c r="B938" s="133"/>
      <c r="C938" s="133" t="s">
        <v>70</v>
      </c>
      <c r="D938" s="103" t="s">
        <v>708</v>
      </c>
      <c r="E938" s="105">
        <v>2.1</v>
      </c>
      <c r="F938" s="105"/>
      <c r="G938" s="123">
        <f t="shared" ref="G938:G944" si="128">F938*E938</f>
        <v>0</v>
      </c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31.5" customHeight="1">
      <c r="A939" s="148"/>
      <c r="B939" s="133"/>
      <c r="C939" s="133" t="s">
        <v>70</v>
      </c>
      <c r="D939" s="103" t="s">
        <v>709</v>
      </c>
      <c r="E939" s="105">
        <v>9.1</v>
      </c>
      <c r="F939" s="105"/>
      <c r="G939" s="123">
        <f t="shared" si="128"/>
        <v>0</v>
      </c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2.75" customHeight="1">
      <c r="A940" s="148"/>
      <c r="B940" s="133"/>
      <c r="C940" s="133" t="s">
        <v>121</v>
      </c>
      <c r="D940" s="307" t="s">
        <v>710</v>
      </c>
      <c r="E940" s="105">
        <v>6.5000000000000002E-2</v>
      </c>
      <c r="F940" s="105"/>
      <c r="G940" s="123">
        <f t="shared" si="128"/>
        <v>0</v>
      </c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2.75" customHeight="1">
      <c r="A941" s="148">
        <v>2</v>
      </c>
      <c r="B941" s="133"/>
      <c r="C941" s="133" t="s">
        <v>51</v>
      </c>
      <c r="D941" s="307" t="s">
        <v>113</v>
      </c>
      <c r="E941" s="105">
        <v>0.3</v>
      </c>
      <c r="F941" s="123"/>
      <c r="G941" s="123">
        <f t="shared" si="128"/>
        <v>0</v>
      </c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2.75" customHeight="1">
      <c r="A942" s="148">
        <v>3</v>
      </c>
      <c r="B942" s="133"/>
      <c r="C942" s="133" t="s">
        <v>51</v>
      </c>
      <c r="D942" s="307" t="s">
        <v>109</v>
      </c>
      <c r="E942" s="104">
        <v>1</v>
      </c>
      <c r="F942" s="123"/>
      <c r="G942" s="123">
        <f t="shared" si="128"/>
        <v>0</v>
      </c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2.75" customHeight="1">
      <c r="A943" s="148">
        <v>4</v>
      </c>
      <c r="B943" s="133"/>
      <c r="C943" s="133" t="s">
        <v>51</v>
      </c>
      <c r="D943" s="307" t="s">
        <v>112</v>
      </c>
      <c r="E943" s="104">
        <v>1</v>
      </c>
      <c r="F943" s="123"/>
      <c r="G943" s="123">
        <f t="shared" si="128"/>
        <v>0</v>
      </c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2.75" customHeight="1">
      <c r="A944" s="148">
        <v>5</v>
      </c>
      <c r="B944" s="133"/>
      <c r="C944" s="133" t="s">
        <v>82</v>
      </c>
      <c r="D944" s="307" t="s">
        <v>117</v>
      </c>
      <c r="E944" s="104">
        <v>0.05</v>
      </c>
      <c r="F944" s="123"/>
      <c r="G944" s="123">
        <f t="shared" si="128"/>
        <v>0</v>
      </c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2.75" customHeight="1">
      <c r="A945" s="144"/>
      <c r="B945" s="144"/>
      <c r="C945" s="144"/>
      <c r="D945" s="445" t="s">
        <v>132</v>
      </c>
      <c r="E945" s="447">
        <v>1</v>
      </c>
      <c r="F945" s="447">
        <f>SUM(G941:G944)</f>
        <v>0</v>
      </c>
      <c r="G945" s="447">
        <f>SUM(G938:G944)</f>
        <v>0</v>
      </c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2.75" customHeight="1">
      <c r="A946" s="564"/>
      <c r="B946" s="564"/>
      <c r="C946" s="565"/>
      <c r="D946" s="566"/>
      <c r="E946" s="567"/>
      <c r="F946" s="568"/>
      <c r="G946" s="568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38.25" customHeight="1">
      <c r="A947" s="148" t="s">
        <v>711</v>
      </c>
      <c r="B947" s="144" t="s">
        <v>106</v>
      </c>
      <c r="C947" s="148"/>
      <c r="D947" s="103" t="s">
        <v>712</v>
      </c>
      <c r="E947" s="123"/>
      <c r="F947" s="123"/>
      <c r="G947" s="123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25.5" customHeight="1">
      <c r="A948" s="148"/>
      <c r="B948" s="133"/>
      <c r="C948" s="133" t="s">
        <v>70</v>
      </c>
      <c r="D948" s="103" t="s">
        <v>708</v>
      </c>
      <c r="E948" s="105">
        <v>2.1</v>
      </c>
      <c r="F948" s="105"/>
      <c r="G948" s="123">
        <f t="shared" ref="G948:G954" si="129">F948*E948</f>
        <v>0</v>
      </c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39" customHeight="1">
      <c r="A949" s="148"/>
      <c r="B949" s="133"/>
      <c r="C949" s="133" t="s">
        <v>70</v>
      </c>
      <c r="D949" s="103" t="s">
        <v>709</v>
      </c>
      <c r="E949" s="105">
        <v>9.1</v>
      </c>
      <c r="F949" s="105"/>
      <c r="G949" s="123">
        <f t="shared" si="129"/>
        <v>0</v>
      </c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25.5" customHeight="1">
      <c r="A950" s="148"/>
      <c r="B950" s="133"/>
      <c r="C950" s="133" t="s">
        <v>121</v>
      </c>
      <c r="D950" s="307" t="s">
        <v>710</v>
      </c>
      <c r="E950" s="105">
        <v>6.5000000000000002E-2</v>
      </c>
      <c r="F950" s="105"/>
      <c r="G950" s="123">
        <f t="shared" si="129"/>
        <v>0</v>
      </c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25.5" customHeight="1">
      <c r="A951" s="148"/>
      <c r="B951" s="133"/>
      <c r="C951" s="133" t="s">
        <v>51</v>
      </c>
      <c r="D951" s="307" t="s">
        <v>113</v>
      </c>
      <c r="E951" s="105">
        <v>0.3</v>
      </c>
      <c r="F951" s="123"/>
      <c r="G951" s="123">
        <f t="shared" si="129"/>
        <v>0</v>
      </c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25.5" customHeight="1">
      <c r="A952" s="148"/>
      <c r="B952" s="133"/>
      <c r="C952" s="133" t="s">
        <v>51</v>
      </c>
      <c r="D952" s="307" t="s">
        <v>109</v>
      </c>
      <c r="E952" s="104">
        <v>1</v>
      </c>
      <c r="F952" s="123"/>
      <c r="G952" s="123">
        <f t="shared" si="129"/>
        <v>0</v>
      </c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25.5" customHeight="1">
      <c r="A953" s="148"/>
      <c r="B953" s="133"/>
      <c r="C953" s="133" t="s">
        <v>51</v>
      </c>
      <c r="D953" s="307" t="s">
        <v>112</v>
      </c>
      <c r="E953" s="104">
        <v>1</v>
      </c>
      <c r="F953" s="123"/>
      <c r="G953" s="123">
        <f t="shared" si="129"/>
        <v>0</v>
      </c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25.5" customHeight="1">
      <c r="A954" s="148"/>
      <c r="B954" s="133"/>
      <c r="C954" s="133" t="s">
        <v>82</v>
      </c>
      <c r="D954" s="103" t="s">
        <v>117</v>
      </c>
      <c r="E954" s="104">
        <v>0.05</v>
      </c>
      <c r="F954" s="123"/>
      <c r="G954" s="123">
        <f t="shared" si="129"/>
        <v>0</v>
      </c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25.5" customHeight="1">
      <c r="A955" s="148"/>
      <c r="B955" s="144"/>
      <c r="C955" s="144"/>
      <c r="D955" s="445" t="s">
        <v>132</v>
      </c>
      <c r="E955" s="447">
        <v>1</v>
      </c>
      <c r="F955" s="447">
        <f>SUM(G951:G954)</f>
        <v>0</v>
      </c>
      <c r="G955" s="447">
        <f>SUM(G948:G954)</f>
        <v>0</v>
      </c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3.5" customHeight="1">
      <c r="A956" s="383"/>
      <c r="B956" s="382"/>
      <c r="C956" s="383"/>
      <c r="D956" s="384"/>
      <c r="E956" s="569"/>
      <c r="F956" s="569"/>
      <c r="G956" s="569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25.5" customHeight="1">
      <c r="A957" s="148" t="s">
        <v>565</v>
      </c>
      <c r="B957" s="144" t="s">
        <v>106</v>
      </c>
      <c r="C957" s="148"/>
      <c r="D957" s="261" t="s">
        <v>713</v>
      </c>
      <c r="E957" s="123"/>
      <c r="F957" s="123"/>
      <c r="G957" s="123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25.5" customHeight="1">
      <c r="A958" s="148">
        <v>1</v>
      </c>
      <c r="B958" s="148"/>
      <c r="C958" s="148" t="s">
        <v>125</v>
      </c>
      <c r="D958" s="103" t="s">
        <v>713</v>
      </c>
      <c r="E958" s="123">
        <v>1</v>
      </c>
      <c r="F958" s="123"/>
      <c r="G958" s="123">
        <f t="shared" ref="G958:G961" si="130">F958*E958</f>
        <v>0</v>
      </c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25.5" customHeight="1">
      <c r="A959" s="148">
        <v>2</v>
      </c>
      <c r="B959" s="148"/>
      <c r="C959" s="148" t="s">
        <v>125</v>
      </c>
      <c r="D959" s="103" t="s">
        <v>714</v>
      </c>
      <c r="E959" s="123">
        <v>1</v>
      </c>
      <c r="F959" s="123"/>
      <c r="G959" s="123">
        <f t="shared" si="130"/>
        <v>0</v>
      </c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2.75" customHeight="1">
      <c r="A960" s="148">
        <v>3</v>
      </c>
      <c r="B960" s="148"/>
      <c r="C960" s="148" t="s">
        <v>125</v>
      </c>
      <c r="D960" s="103" t="s">
        <v>715</v>
      </c>
      <c r="E960" s="123">
        <v>1</v>
      </c>
      <c r="F960" s="123"/>
      <c r="G960" s="123">
        <f t="shared" si="130"/>
        <v>0</v>
      </c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25.5" customHeight="1">
      <c r="A961" s="148">
        <v>4</v>
      </c>
      <c r="B961" s="148"/>
      <c r="C961" s="148" t="s">
        <v>125</v>
      </c>
      <c r="D961" s="103" t="s">
        <v>716</v>
      </c>
      <c r="E961" s="123">
        <v>1</v>
      </c>
      <c r="F961" s="123"/>
      <c r="G961" s="123">
        <f t="shared" si="130"/>
        <v>0</v>
      </c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2.75" customHeight="1">
      <c r="A962" s="122"/>
      <c r="B962" s="122"/>
      <c r="C962" s="148"/>
      <c r="D962" s="445" t="s">
        <v>132</v>
      </c>
      <c r="E962" s="570">
        <v>1</v>
      </c>
      <c r="F962" s="447">
        <f>SUM(G957:G961)</f>
        <v>0</v>
      </c>
      <c r="G962" s="447">
        <f>SUM(G957:G961)</f>
        <v>0</v>
      </c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2.75" customHeight="1">
      <c r="A963" s="559"/>
      <c r="B963" s="559"/>
      <c r="C963" s="558"/>
      <c r="D963" s="560"/>
      <c r="E963" s="561"/>
      <c r="F963" s="562"/>
      <c r="G963" s="562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2.75" customHeight="1">
      <c r="A964" s="571" t="s">
        <v>262</v>
      </c>
      <c r="B964" s="571" t="s">
        <v>106</v>
      </c>
      <c r="C964" s="572" t="s">
        <v>436</v>
      </c>
      <c r="D964" s="573" t="s">
        <v>717</v>
      </c>
      <c r="E964" s="574"/>
      <c r="F964" s="575"/>
      <c r="G964" s="575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6.5" customHeight="1">
      <c r="A965" s="571"/>
      <c r="B965" s="571"/>
      <c r="C965" s="572" t="s">
        <v>51</v>
      </c>
      <c r="D965" s="457" t="s">
        <v>718</v>
      </c>
      <c r="E965" s="574">
        <v>0.4</v>
      </c>
      <c r="F965" s="575"/>
      <c r="G965" s="575">
        <f t="shared" ref="G965:G968" si="131">F965*E965</f>
        <v>0</v>
      </c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" customHeight="1">
      <c r="A966" s="571"/>
      <c r="B966" s="571"/>
      <c r="C966" s="572" t="s">
        <v>436</v>
      </c>
      <c r="D966" s="457" t="s">
        <v>719</v>
      </c>
      <c r="E966" s="574">
        <v>1</v>
      </c>
      <c r="F966" s="575"/>
      <c r="G966" s="575">
        <f t="shared" si="131"/>
        <v>0</v>
      </c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2.75" customHeight="1">
      <c r="A967" s="571"/>
      <c r="B967" s="571"/>
      <c r="C967" s="572" t="s">
        <v>51</v>
      </c>
      <c r="D967" s="457" t="s">
        <v>720</v>
      </c>
      <c r="E967" s="574">
        <v>0.4</v>
      </c>
      <c r="F967" s="575"/>
      <c r="G967" s="575">
        <f t="shared" si="131"/>
        <v>0</v>
      </c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2.75" customHeight="1">
      <c r="A968" s="571"/>
      <c r="B968" s="571"/>
      <c r="C968" s="572" t="s">
        <v>51</v>
      </c>
      <c r="D968" s="457" t="s">
        <v>721</v>
      </c>
      <c r="E968" s="574">
        <v>2</v>
      </c>
      <c r="F968" s="575"/>
      <c r="G968" s="575">
        <f t="shared" si="131"/>
        <v>0</v>
      </c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2.75" customHeight="1">
      <c r="A969" s="571"/>
      <c r="B969" s="571"/>
      <c r="C969" s="572"/>
      <c r="D969" s="445" t="s">
        <v>132</v>
      </c>
      <c r="E969" s="570">
        <v>1</v>
      </c>
      <c r="F969" s="447">
        <f>SUM(G965:G968)</f>
        <v>0</v>
      </c>
      <c r="G969" s="447">
        <f>SUM(G965:G968)</f>
        <v>0</v>
      </c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2.75" customHeight="1">
      <c r="A970" s="576"/>
      <c r="B970" s="576"/>
      <c r="C970" s="577"/>
      <c r="D970" s="140"/>
      <c r="E970" s="578"/>
      <c r="F970" s="321"/>
      <c r="G970" s="321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2.75" customHeight="1">
      <c r="A971" s="576"/>
      <c r="B971" s="576"/>
      <c r="C971" s="577"/>
      <c r="D971" s="140"/>
      <c r="E971" s="578"/>
      <c r="F971" s="321"/>
      <c r="G971" s="321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2.75" customHeight="1">
      <c r="A972" s="576"/>
      <c r="B972" s="576"/>
      <c r="C972" s="577"/>
      <c r="D972" s="140"/>
      <c r="E972" s="578"/>
      <c r="F972" s="321"/>
      <c r="G972" s="321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2.75" customHeight="1">
      <c r="A973" s="576"/>
      <c r="B973" s="576"/>
      <c r="C973" s="577"/>
      <c r="D973" s="140"/>
      <c r="E973" s="578"/>
      <c r="F973" s="321"/>
      <c r="G973" s="321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2.75" customHeight="1">
      <c r="A974" s="576"/>
      <c r="B974" s="576"/>
      <c r="C974" s="577"/>
      <c r="D974" s="140"/>
      <c r="E974" s="578"/>
      <c r="F974" s="321"/>
      <c r="G974" s="321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2.75" customHeight="1">
      <c r="A975" s="576"/>
      <c r="B975" s="576"/>
      <c r="C975" s="577"/>
      <c r="D975" s="140"/>
      <c r="E975" s="578"/>
      <c r="F975" s="321"/>
      <c r="G975" s="321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2.75" customHeight="1">
      <c r="A976" s="576"/>
      <c r="B976" s="576"/>
      <c r="C976" s="577"/>
      <c r="D976" s="140"/>
      <c r="E976" s="578"/>
      <c r="F976" s="321"/>
      <c r="G976" s="321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2.75" customHeight="1">
      <c r="A977" s="576"/>
      <c r="B977" s="576"/>
      <c r="C977" s="577"/>
      <c r="D977" s="140"/>
      <c r="E977" s="578"/>
      <c r="F977" s="321"/>
      <c r="G977" s="321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2.75" customHeight="1">
      <c r="A978" s="576"/>
      <c r="B978" s="576"/>
      <c r="C978" s="577"/>
      <c r="D978" s="140"/>
      <c r="E978" s="578"/>
      <c r="F978" s="321"/>
      <c r="G978" s="321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2.75" customHeight="1">
      <c r="A979" s="576"/>
      <c r="B979" s="576"/>
      <c r="C979" s="577"/>
      <c r="D979" s="140"/>
      <c r="E979" s="578"/>
      <c r="F979" s="321"/>
      <c r="G979" s="321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2.75" customHeight="1">
      <c r="A980" s="576"/>
      <c r="B980" s="576"/>
      <c r="C980" s="577"/>
      <c r="D980" s="140"/>
      <c r="E980" s="578"/>
      <c r="F980" s="321"/>
      <c r="G980" s="321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2.75" customHeight="1">
      <c r="A981" s="576"/>
      <c r="B981" s="576"/>
      <c r="C981" s="577"/>
      <c r="D981" s="140"/>
      <c r="E981" s="578"/>
      <c r="F981" s="321"/>
      <c r="G981" s="321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2.75" customHeight="1">
      <c r="A982" s="576"/>
      <c r="B982" s="576"/>
      <c r="C982" s="577"/>
      <c r="D982" s="140"/>
      <c r="E982" s="578"/>
      <c r="F982" s="321"/>
      <c r="G982" s="321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2.75" customHeight="1">
      <c r="A983" s="576"/>
      <c r="B983" s="576"/>
      <c r="C983" s="577"/>
      <c r="D983" s="140"/>
      <c r="E983" s="578"/>
      <c r="F983" s="321"/>
      <c r="G983" s="321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2.75" customHeight="1">
      <c r="A984" s="576"/>
      <c r="B984" s="576"/>
      <c r="C984" s="577"/>
      <c r="D984" s="140"/>
      <c r="E984" s="578"/>
      <c r="F984" s="321"/>
      <c r="G984" s="321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2.75" customHeight="1">
      <c r="A985" s="576"/>
      <c r="B985" s="576"/>
      <c r="C985" s="577"/>
      <c r="D985" s="140"/>
      <c r="E985" s="578"/>
      <c r="F985" s="321"/>
      <c r="G985" s="321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2.75" customHeight="1">
      <c r="A986" s="576"/>
      <c r="B986" s="576"/>
      <c r="C986" s="577"/>
      <c r="D986" s="140"/>
      <c r="E986" s="578"/>
      <c r="F986" s="321"/>
      <c r="G986" s="321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2.75" customHeight="1">
      <c r="A987" s="576"/>
      <c r="B987" s="576"/>
      <c r="C987" s="577"/>
      <c r="D987" s="140"/>
      <c r="E987" s="578"/>
      <c r="F987" s="321"/>
      <c r="G987" s="321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2.75" customHeight="1">
      <c r="A988" s="576"/>
      <c r="B988" s="576"/>
      <c r="C988" s="577"/>
      <c r="D988" s="140"/>
      <c r="E988" s="578"/>
      <c r="F988" s="321"/>
      <c r="G988" s="321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2.75" customHeight="1">
      <c r="A989" s="576"/>
      <c r="B989" s="576"/>
      <c r="C989" s="577"/>
      <c r="D989" s="140"/>
      <c r="E989" s="578"/>
      <c r="F989" s="321"/>
      <c r="G989" s="321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2.75" customHeight="1">
      <c r="A990" s="576"/>
      <c r="B990" s="576"/>
      <c r="C990" s="577"/>
      <c r="D990" s="140"/>
      <c r="E990" s="578"/>
      <c r="F990" s="321"/>
      <c r="G990" s="321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2.75" customHeight="1">
      <c r="A991" s="576"/>
      <c r="B991" s="576"/>
      <c r="C991" s="577"/>
      <c r="D991" s="140"/>
      <c r="E991" s="578"/>
      <c r="F991" s="321"/>
      <c r="G991" s="321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2.75" customHeight="1">
      <c r="A992" s="576"/>
      <c r="B992" s="576"/>
      <c r="C992" s="577"/>
      <c r="D992" s="140"/>
      <c r="E992" s="578"/>
      <c r="F992" s="321"/>
      <c r="G992" s="321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2.75" customHeight="1">
      <c r="A993" s="576"/>
      <c r="B993" s="576"/>
      <c r="C993" s="577"/>
      <c r="D993" s="140"/>
      <c r="E993" s="578"/>
      <c r="F993" s="321"/>
      <c r="G993" s="321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2.75" customHeight="1">
      <c r="A994" s="576"/>
      <c r="B994" s="576"/>
      <c r="C994" s="577"/>
      <c r="D994" s="140"/>
      <c r="E994" s="578"/>
      <c r="F994" s="321"/>
      <c r="G994" s="321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2.75" customHeight="1">
      <c r="A995" s="576"/>
      <c r="B995" s="576"/>
      <c r="C995" s="577"/>
      <c r="D995" s="140"/>
      <c r="E995" s="578"/>
      <c r="F995" s="321"/>
      <c r="G995" s="321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2.75" customHeight="1">
      <c r="A996" s="576"/>
      <c r="B996" s="576"/>
      <c r="C996" s="577"/>
      <c r="D996" s="140"/>
      <c r="E996" s="578"/>
      <c r="F996" s="321"/>
      <c r="G996" s="321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2.75" customHeight="1">
      <c r="A997" s="576"/>
      <c r="B997" s="576"/>
      <c r="C997" s="577"/>
      <c r="D997" s="140"/>
      <c r="E997" s="578"/>
      <c r="F997" s="321"/>
      <c r="G997" s="321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2.75" customHeight="1">
      <c r="A998" s="576"/>
      <c r="B998" s="576"/>
      <c r="C998" s="577"/>
      <c r="D998" s="140"/>
      <c r="E998" s="578"/>
      <c r="F998" s="321"/>
      <c r="G998" s="321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2.75" customHeight="1">
      <c r="A999" s="576"/>
      <c r="B999" s="576"/>
      <c r="C999" s="577"/>
      <c r="D999" s="140"/>
      <c r="E999" s="578"/>
      <c r="F999" s="321"/>
      <c r="G999" s="321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12.75" customHeight="1">
      <c r="A1000" s="576"/>
      <c r="B1000" s="576"/>
      <c r="C1000" s="577"/>
      <c r="D1000" s="140"/>
      <c r="E1000" s="578"/>
      <c r="F1000" s="321"/>
      <c r="G1000" s="321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  <row r="1001" spans="1:26" ht="12.75" customHeight="1">
      <c r="A1001" s="576"/>
      <c r="B1001" s="576"/>
      <c r="C1001" s="577"/>
      <c r="D1001" s="140"/>
      <c r="E1001" s="578"/>
      <c r="F1001" s="321"/>
      <c r="G1001" s="321"/>
      <c r="H1001" s="140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</row>
    <row r="1002" spans="1:26" ht="12.75" customHeight="1">
      <c r="A1002" s="576"/>
      <c r="B1002" s="576"/>
      <c r="C1002" s="577"/>
      <c r="D1002" s="140"/>
      <c r="E1002" s="578"/>
      <c r="F1002" s="321"/>
      <c r="G1002" s="321"/>
      <c r="H1002" s="140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</row>
    <row r="1003" spans="1:26" ht="12.75" customHeight="1">
      <c r="A1003" s="576"/>
      <c r="B1003" s="576"/>
      <c r="C1003" s="577"/>
      <c r="D1003" s="140"/>
      <c r="E1003" s="578"/>
      <c r="F1003" s="321"/>
      <c r="G1003" s="321"/>
      <c r="H1003" s="140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</row>
    <row r="1004" spans="1:26" ht="12.75" customHeight="1">
      <c r="A1004" s="576"/>
      <c r="B1004" s="576"/>
      <c r="C1004" s="577"/>
      <c r="D1004" s="140"/>
      <c r="E1004" s="578"/>
      <c r="F1004" s="321"/>
      <c r="G1004" s="321"/>
      <c r="H1004" s="140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</row>
    <row r="1005" spans="1:26" ht="12.75" customHeight="1">
      <c r="A1005" s="576"/>
      <c r="B1005" s="576"/>
      <c r="C1005" s="577"/>
      <c r="D1005" s="140"/>
      <c r="E1005" s="578"/>
      <c r="F1005" s="321"/>
      <c r="G1005" s="321"/>
      <c r="H1005" s="140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</row>
    <row r="1006" spans="1:26" ht="12.75" customHeight="1">
      <c r="A1006" s="576"/>
      <c r="B1006" s="576"/>
      <c r="C1006" s="577"/>
      <c r="D1006" s="140"/>
      <c r="E1006" s="578"/>
      <c r="F1006" s="321"/>
      <c r="G1006" s="321"/>
      <c r="H1006" s="140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</row>
    <row r="1007" spans="1:26" ht="12.75" customHeight="1">
      <c r="A1007" s="576"/>
      <c r="B1007" s="576"/>
      <c r="C1007" s="577"/>
      <c r="D1007" s="140"/>
      <c r="E1007" s="578"/>
      <c r="F1007" s="321"/>
      <c r="G1007" s="321"/>
      <c r="H1007" s="140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</row>
    <row r="1008" spans="1:26" ht="12.75" customHeight="1">
      <c r="A1008" s="576"/>
      <c r="B1008" s="576"/>
      <c r="C1008" s="577"/>
      <c r="D1008" s="140"/>
      <c r="E1008" s="578"/>
      <c r="F1008" s="321"/>
      <c r="G1008" s="321"/>
      <c r="H1008" s="140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</row>
    <row r="1009" spans="1:26" ht="12.75" customHeight="1">
      <c r="A1009" s="576"/>
      <c r="B1009" s="576"/>
      <c r="C1009" s="577"/>
      <c r="D1009" s="140"/>
      <c r="E1009" s="578"/>
      <c r="F1009" s="321"/>
      <c r="G1009" s="321"/>
      <c r="H1009" s="140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</row>
    <row r="1010" spans="1:26" ht="12.75" customHeight="1">
      <c r="A1010" s="576"/>
      <c r="B1010" s="576"/>
      <c r="C1010" s="577"/>
      <c r="D1010" s="140"/>
      <c r="E1010" s="578"/>
      <c r="F1010" s="321"/>
      <c r="G1010" s="321"/>
      <c r="H1010" s="140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</row>
    <row r="1011" spans="1:26" ht="12.75" customHeight="1">
      <c r="A1011" s="576"/>
      <c r="B1011" s="576"/>
      <c r="C1011" s="577"/>
      <c r="D1011" s="140"/>
      <c r="E1011" s="578"/>
      <c r="F1011" s="321"/>
      <c r="G1011" s="321"/>
      <c r="H1011" s="140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</row>
    <row r="1012" spans="1:26" ht="12.75" customHeight="1">
      <c r="A1012" s="576"/>
      <c r="B1012" s="576"/>
      <c r="C1012" s="577"/>
      <c r="D1012" s="140"/>
      <c r="E1012" s="578"/>
      <c r="F1012" s="321"/>
      <c r="G1012" s="321"/>
      <c r="H1012" s="140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</row>
    <row r="1013" spans="1:26" ht="12.75" customHeight="1">
      <c r="A1013" s="576"/>
      <c r="B1013" s="576"/>
      <c r="C1013" s="577"/>
      <c r="D1013" s="140"/>
      <c r="E1013" s="578"/>
      <c r="F1013" s="321"/>
      <c r="G1013" s="321"/>
      <c r="H1013" s="140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</row>
    <row r="1014" spans="1:26" ht="12.75" customHeight="1">
      <c r="A1014" s="576"/>
      <c r="B1014" s="576"/>
      <c r="C1014" s="577"/>
      <c r="D1014" s="140"/>
      <c r="E1014" s="578"/>
      <c r="F1014" s="321"/>
      <c r="G1014" s="321"/>
      <c r="H1014" s="140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</row>
    <row r="1015" spans="1:26" ht="12.75" customHeight="1">
      <c r="A1015" s="576"/>
      <c r="B1015" s="576"/>
      <c r="C1015" s="577"/>
      <c r="D1015" s="140"/>
      <c r="E1015" s="578"/>
      <c r="F1015" s="321"/>
      <c r="G1015" s="321"/>
      <c r="H1015" s="140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</row>
    <row r="1016" spans="1:26" ht="12.75" customHeight="1">
      <c r="A1016" s="576"/>
      <c r="B1016" s="576"/>
      <c r="C1016" s="577"/>
      <c r="D1016" s="140"/>
      <c r="E1016" s="578"/>
      <c r="F1016" s="321"/>
      <c r="G1016" s="321"/>
      <c r="H1016" s="140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</row>
    <row r="1017" spans="1:26" ht="12.75" customHeight="1">
      <c r="A1017" s="576"/>
      <c r="B1017" s="576"/>
      <c r="C1017" s="577"/>
      <c r="D1017" s="140"/>
      <c r="E1017" s="578"/>
      <c r="F1017" s="321"/>
      <c r="G1017" s="321"/>
      <c r="H1017" s="140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</row>
    <row r="1018" spans="1:26" ht="12.75" customHeight="1">
      <c r="A1018" s="576"/>
      <c r="B1018" s="576"/>
      <c r="C1018" s="577"/>
      <c r="D1018" s="140"/>
      <c r="E1018" s="578"/>
      <c r="F1018" s="321"/>
      <c r="G1018" s="321"/>
      <c r="H1018" s="140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</row>
    <row r="1019" spans="1:26" ht="12.75" customHeight="1">
      <c r="A1019" s="576"/>
      <c r="B1019" s="576"/>
      <c r="C1019" s="577"/>
      <c r="D1019" s="140"/>
      <c r="E1019" s="578"/>
      <c r="F1019" s="321"/>
      <c r="G1019" s="321"/>
      <c r="H1019" s="140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</row>
    <row r="1020" spans="1:26" ht="12.75" customHeight="1">
      <c r="A1020" s="576"/>
      <c r="B1020" s="576"/>
      <c r="C1020" s="577"/>
      <c r="D1020" s="140"/>
      <c r="E1020" s="578"/>
      <c r="F1020" s="321"/>
      <c r="G1020" s="321"/>
      <c r="H1020" s="140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</row>
    <row r="1021" spans="1:26" ht="12.75" customHeight="1">
      <c r="A1021" s="576"/>
      <c r="B1021" s="576"/>
      <c r="C1021" s="577"/>
      <c r="D1021" s="140"/>
      <c r="E1021" s="578"/>
      <c r="F1021" s="321"/>
      <c r="G1021" s="321"/>
      <c r="H1021" s="140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</row>
    <row r="1022" spans="1:26" ht="12.75" customHeight="1">
      <c r="A1022" s="576"/>
      <c r="B1022" s="576"/>
      <c r="C1022" s="577"/>
      <c r="D1022" s="140"/>
      <c r="E1022" s="578"/>
      <c r="F1022" s="321"/>
      <c r="G1022" s="321"/>
      <c r="H1022" s="140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</row>
    <row r="1023" spans="1:26" ht="12.75" customHeight="1">
      <c r="A1023" s="576"/>
      <c r="B1023" s="576"/>
      <c r="C1023" s="577"/>
      <c r="D1023" s="140"/>
      <c r="E1023" s="578"/>
      <c r="F1023" s="321"/>
      <c r="G1023" s="321"/>
      <c r="H1023" s="140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</row>
    <row r="1024" spans="1:26" ht="12.75" customHeight="1">
      <c r="A1024" s="576"/>
      <c r="B1024" s="576"/>
      <c r="C1024" s="577"/>
      <c r="D1024" s="140"/>
      <c r="E1024" s="578"/>
      <c r="F1024" s="321"/>
      <c r="G1024" s="321"/>
      <c r="H1024" s="140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</row>
    <row r="1025" spans="1:26" ht="12.75" customHeight="1">
      <c r="A1025" s="576"/>
      <c r="B1025" s="576"/>
      <c r="C1025" s="577"/>
      <c r="D1025" s="140"/>
      <c r="E1025" s="578"/>
      <c r="F1025" s="321"/>
      <c r="G1025" s="321"/>
      <c r="H1025" s="140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</row>
    <row r="1026" spans="1:26" ht="12.75" customHeight="1">
      <c r="A1026" s="576"/>
      <c r="B1026" s="576"/>
      <c r="C1026" s="577"/>
      <c r="D1026" s="140"/>
      <c r="E1026" s="578"/>
      <c r="F1026" s="321"/>
      <c r="G1026" s="321"/>
      <c r="H1026" s="140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</row>
    <row r="1027" spans="1:26" ht="12.75" customHeight="1">
      <c r="A1027" s="576"/>
      <c r="B1027" s="576"/>
      <c r="C1027" s="577"/>
      <c r="D1027" s="140"/>
      <c r="E1027" s="578"/>
      <c r="F1027" s="321"/>
      <c r="G1027" s="321"/>
      <c r="H1027" s="140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</row>
    <row r="1028" spans="1:26" ht="12.75" customHeight="1">
      <c r="A1028" s="576"/>
      <c r="B1028" s="576"/>
      <c r="C1028" s="577"/>
      <c r="D1028" s="140"/>
      <c r="E1028" s="578"/>
      <c r="F1028" s="321"/>
      <c r="G1028" s="321"/>
      <c r="H1028" s="140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</row>
    <row r="1029" spans="1:26" ht="12.75" customHeight="1">
      <c r="A1029" s="576"/>
      <c r="B1029" s="576"/>
      <c r="C1029" s="577"/>
      <c r="D1029" s="140"/>
      <c r="E1029" s="578"/>
      <c r="F1029" s="321"/>
      <c r="G1029" s="321"/>
      <c r="H1029" s="140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</row>
    <row r="1030" spans="1:26" ht="12.75" customHeight="1">
      <c r="A1030" s="576"/>
      <c r="B1030" s="576"/>
      <c r="C1030" s="577"/>
      <c r="D1030" s="140"/>
      <c r="E1030" s="578"/>
      <c r="F1030" s="321"/>
      <c r="G1030" s="321"/>
      <c r="H1030" s="140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</row>
    <row r="1031" spans="1:26" ht="12.75" customHeight="1">
      <c r="A1031" s="576"/>
      <c r="B1031" s="576"/>
      <c r="C1031" s="577"/>
      <c r="D1031" s="140"/>
      <c r="E1031" s="578"/>
      <c r="F1031" s="321"/>
      <c r="G1031" s="321"/>
      <c r="H1031" s="140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</row>
    <row r="1032" spans="1:26" ht="12.75" customHeight="1">
      <c r="A1032" s="576"/>
      <c r="B1032" s="576"/>
      <c r="C1032" s="577"/>
      <c r="D1032" s="140"/>
      <c r="E1032" s="578"/>
      <c r="F1032" s="321"/>
      <c r="G1032" s="321"/>
      <c r="H1032" s="140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</row>
    <row r="1033" spans="1:26" ht="12.75" customHeight="1">
      <c r="A1033" s="576"/>
      <c r="B1033" s="576"/>
      <c r="C1033" s="577"/>
      <c r="D1033" s="140"/>
      <c r="E1033" s="578"/>
      <c r="F1033" s="321"/>
      <c r="G1033" s="321"/>
      <c r="H1033" s="140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</row>
    <row r="1034" spans="1:26" ht="12.75" customHeight="1">
      <c r="A1034" s="576"/>
      <c r="B1034" s="576"/>
      <c r="C1034" s="577"/>
      <c r="D1034" s="140"/>
      <c r="E1034" s="578"/>
      <c r="F1034" s="321"/>
      <c r="G1034" s="321"/>
      <c r="H1034" s="140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</row>
    <row r="1035" spans="1:26" ht="12.75" customHeight="1">
      <c r="A1035" s="576"/>
      <c r="B1035" s="576"/>
      <c r="C1035" s="577"/>
      <c r="D1035" s="140"/>
      <c r="E1035" s="578"/>
      <c r="F1035" s="321"/>
      <c r="G1035" s="321"/>
      <c r="H1035" s="140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</row>
    <row r="1036" spans="1:26" ht="12.75" customHeight="1">
      <c r="A1036" s="576"/>
      <c r="B1036" s="576"/>
      <c r="C1036" s="577"/>
      <c r="D1036" s="140"/>
      <c r="E1036" s="578"/>
      <c r="F1036" s="321"/>
      <c r="G1036" s="321"/>
      <c r="H1036" s="140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</row>
    <row r="1037" spans="1:26" ht="12.75" customHeight="1">
      <c r="A1037" s="576"/>
      <c r="B1037" s="576"/>
      <c r="C1037" s="577"/>
      <c r="D1037" s="140"/>
      <c r="E1037" s="578"/>
      <c r="F1037" s="321"/>
      <c r="G1037" s="321"/>
      <c r="H1037" s="140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</row>
    <row r="1038" spans="1:26" ht="12.75" customHeight="1">
      <c r="A1038" s="576"/>
      <c r="B1038" s="576"/>
      <c r="C1038" s="577"/>
      <c r="D1038" s="140"/>
      <c r="E1038" s="578"/>
      <c r="F1038" s="321"/>
      <c r="G1038" s="321"/>
      <c r="H1038" s="140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</row>
    <row r="1039" spans="1:26" ht="12.75" customHeight="1">
      <c r="A1039" s="576"/>
      <c r="B1039" s="576"/>
      <c r="C1039" s="577"/>
      <c r="D1039" s="140"/>
      <c r="E1039" s="578"/>
      <c r="F1039" s="321"/>
      <c r="G1039" s="321"/>
      <c r="H1039" s="140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</row>
    <row r="1040" spans="1:26" ht="12.75" customHeight="1">
      <c r="A1040" s="576"/>
      <c r="B1040" s="576"/>
      <c r="C1040" s="577"/>
      <c r="D1040" s="140"/>
      <c r="E1040" s="578"/>
      <c r="F1040" s="321"/>
      <c r="G1040" s="321"/>
      <c r="H1040" s="140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</row>
    <row r="1041" spans="1:26" ht="12.75" customHeight="1">
      <c r="A1041" s="576"/>
      <c r="B1041" s="576"/>
      <c r="C1041" s="577"/>
      <c r="D1041" s="140"/>
      <c r="E1041" s="578"/>
      <c r="F1041" s="321"/>
      <c r="G1041" s="321"/>
      <c r="H1041" s="140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</row>
    <row r="1042" spans="1:26" ht="12.75" customHeight="1">
      <c r="A1042" s="576"/>
      <c r="B1042" s="576"/>
      <c r="C1042" s="577"/>
      <c r="D1042" s="140"/>
      <c r="E1042" s="578"/>
      <c r="F1042" s="321"/>
      <c r="G1042" s="321"/>
      <c r="H1042" s="140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</row>
    <row r="1043" spans="1:26" ht="12.75" customHeight="1">
      <c r="A1043" s="576"/>
      <c r="B1043" s="576"/>
      <c r="C1043" s="577"/>
      <c r="D1043" s="140"/>
      <c r="E1043" s="578"/>
      <c r="F1043" s="321"/>
      <c r="G1043" s="321"/>
      <c r="H1043" s="140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</row>
    <row r="1044" spans="1:26" ht="12.75" customHeight="1">
      <c r="A1044" s="576"/>
      <c r="B1044" s="576"/>
      <c r="C1044" s="577"/>
      <c r="D1044" s="140"/>
      <c r="E1044" s="578"/>
      <c r="F1044" s="321"/>
      <c r="G1044" s="321"/>
      <c r="H1044" s="140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</row>
    <row r="1045" spans="1:26" ht="12.75" customHeight="1">
      <c r="A1045" s="576"/>
      <c r="B1045" s="576"/>
      <c r="C1045" s="577"/>
      <c r="D1045" s="140"/>
      <c r="E1045" s="578"/>
      <c r="F1045" s="321"/>
      <c r="G1045" s="321"/>
      <c r="H1045" s="140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</row>
    <row r="1046" spans="1:26" ht="12.75" customHeight="1">
      <c r="A1046" s="576"/>
      <c r="B1046" s="576"/>
      <c r="C1046" s="577"/>
      <c r="D1046" s="140"/>
      <c r="E1046" s="578"/>
      <c r="F1046" s="321"/>
      <c r="G1046" s="321"/>
      <c r="H1046" s="140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</row>
    <row r="1047" spans="1:26" ht="12.75" customHeight="1">
      <c r="A1047" s="576"/>
      <c r="B1047" s="576"/>
      <c r="C1047" s="577"/>
      <c r="D1047" s="140"/>
      <c r="E1047" s="578"/>
      <c r="F1047" s="321"/>
      <c r="G1047" s="321"/>
      <c r="H1047" s="140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</row>
    <row r="1048" spans="1:26" ht="12.75" customHeight="1">
      <c r="A1048" s="576"/>
      <c r="B1048" s="576"/>
      <c r="C1048" s="577"/>
      <c r="D1048" s="140"/>
      <c r="E1048" s="578"/>
      <c r="F1048" s="321"/>
      <c r="G1048" s="321"/>
      <c r="H1048" s="140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</row>
    <row r="1049" spans="1:26" ht="12.75" customHeight="1">
      <c r="A1049" s="576"/>
      <c r="B1049" s="576"/>
      <c r="C1049" s="577"/>
      <c r="D1049" s="140"/>
      <c r="E1049" s="578"/>
      <c r="F1049" s="321"/>
      <c r="G1049" s="321"/>
      <c r="H1049" s="140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</row>
    <row r="1050" spans="1:26" ht="12.75" customHeight="1">
      <c r="A1050" s="576"/>
      <c r="B1050" s="576"/>
      <c r="C1050" s="577"/>
      <c r="D1050" s="140"/>
      <c r="E1050" s="578"/>
      <c r="F1050" s="321"/>
      <c r="G1050" s="321"/>
      <c r="H1050" s="140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</row>
    <row r="1051" spans="1:26" ht="12.75" customHeight="1">
      <c r="A1051" s="576"/>
      <c r="B1051" s="576"/>
      <c r="C1051" s="577"/>
      <c r="D1051" s="140"/>
      <c r="E1051" s="578"/>
      <c r="F1051" s="321"/>
      <c r="G1051" s="321"/>
      <c r="H1051" s="140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</row>
    <row r="1052" spans="1:26" ht="12.75" customHeight="1">
      <c r="A1052" s="576"/>
      <c r="B1052" s="576"/>
      <c r="C1052" s="577"/>
      <c r="D1052" s="140"/>
      <c r="E1052" s="578"/>
      <c r="F1052" s="321"/>
      <c r="G1052" s="321"/>
      <c r="H1052" s="140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</row>
    <row r="1053" spans="1:26" ht="12.75" customHeight="1">
      <c r="A1053" s="576"/>
      <c r="B1053" s="576"/>
      <c r="C1053" s="577"/>
      <c r="D1053" s="140"/>
      <c r="E1053" s="578"/>
      <c r="F1053" s="321"/>
      <c r="G1053" s="321"/>
      <c r="H1053" s="140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</row>
    <row r="1054" spans="1:26" ht="12.75" customHeight="1">
      <c r="A1054" s="576"/>
      <c r="B1054" s="576"/>
      <c r="C1054" s="577"/>
      <c r="D1054" s="140"/>
      <c r="E1054" s="578"/>
      <c r="F1054" s="321"/>
      <c r="G1054" s="321"/>
      <c r="H1054" s="140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</row>
    <row r="1055" spans="1:26" ht="12.75" customHeight="1">
      <c r="A1055" s="576"/>
      <c r="B1055" s="576"/>
      <c r="C1055" s="577"/>
      <c r="D1055" s="140"/>
      <c r="E1055" s="578"/>
      <c r="F1055" s="321"/>
      <c r="G1055" s="321"/>
      <c r="H1055" s="140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</row>
    <row r="1056" spans="1:26" ht="12.75" customHeight="1">
      <c r="A1056" s="576"/>
      <c r="B1056" s="576"/>
      <c r="C1056" s="577"/>
      <c r="D1056" s="140"/>
      <c r="E1056" s="578"/>
      <c r="F1056" s="321"/>
      <c r="G1056" s="321"/>
      <c r="H1056" s="140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</row>
    <row r="1057" spans="1:26" ht="12.75" customHeight="1">
      <c r="A1057" s="576"/>
      <c r="B1057" s="576"/>
      <c r="C1057" s="577"/>
      <c r="D1057" s="140"/>
      <c r="E1057" s="578"/>
      <c r="F1057" s="321"/>
      <c r="G1057" s="321"/>
      <c r="H1057" s="140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</row>
    <row r="1058" spans="1:26" ht="12.75" customHeight="1">
      <c r="A1058" s="576"/>
      <c r="B1058" s="576"/>
      <c r="C1058" s="577"/>
      <c r="D1058" s="140"/>
      <c r="E1058" s="578"/>
      <c r="F1058" s="321"/>
      <c r="G1058" s="321"/>
      <c r="H1058" s="140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</row>
    <row r="1059" spans="1:26" ht="12.75" customHeight="1">
      <c r="A1059" s="576"/>
      <c r="B1059" s="576"/>
      <c r="C1059" s="577"/>
      <c r="D1059" s="140"/>
      <c r="E1059" s="578"/>
      <c r="F1059" s="321"/>
      <c r="G1059" s="321"/>
      <c r="H1059" s="140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</row>
    <row r="1060" spans="1:26" ht="12.75" customHeight="1">
      <c r="A1060" s="576"/>
      <c r="B1060" s="576"/>
      <c r="C1060" s="577"/>
      <c r="D1060" s="140"/>
      <c r="E1060" s="578"/>
      <c r="F1060" s="321"/>
      <c r="G1060" s="321"/>
      <c r="H1060" s="140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</row>
    <row r="1061" spans="1:26" ht="12.75" customHeight="1">
      <c r="A1061" s="576"/>
      <c r="B1061" s="576"/>
      <c r="C1061" s="577"/>
      <c r="D1061" s="140"/>
      <c r="E1061" s="578"/>
      <c r="F1061" s="321"/>
      <c r="G1061" s="321"/>
      <c r="H1061" s="140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</row>
    <row r="1062" spans="1:26" ht="12.75" customHeight="1">
      <c r="A1062" s="576"/>
      <c r="B1062" s="576"/>
      <c r="C1062" s="577"/>
      <c r="D1062" s="140"/>
      <c r="E1062" s="578"/>
      <c r="F1062" s="321"/>
      <c r="G1062" s="321"/>
      <c r="H1062" s="140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</row>
    <row r="1063" spans="1:26" ht="12.75" customHeight="1">
      <c r="A1063" s="576"/>
      <c r="B1063" s="576"/>
      <c r="C1063" s="577"/>
      <c r="D1063" s="140"/>
      <c r="E1063" s="578"/>
      <c r="F1063" s="321"/>
      <c r="G1063" s="321"/>
      <c r="H1063" s="140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</row>
    <row r="1064" spans="1:26" ht="12.75" customHeight="1">
      <c r="A1064" s="576"/>
      <c r="B1064" s="576"/>
      <c r="C1064" s="577"/>
      <c r="D1064" s="140"/>
      <c r="E1064" s="578"/>
      <c r="F1064" s="321"/>
      <c r="G1064" s="321"/>
      <c r="H1064" s="140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</row>
    <row r="1065" spans="1:26" ht="12.75" customHeight="1">
      <c r="A1065" s="576"/>
      <c r="B1065" s="576"/>
      <c r="C1065" s="577"/>
      <c r="D1065" s="140"/>
      <c r="E1065" s="578"/>
      <c r="F1065" s="321"/>
      <c r="G1065" s="321"/>
      <c r="H1065" s="140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</row>
    <row r="1066" spans="1:26" ht="12.75" customHeight="1">
      <c r="A1066" s="576"/>
      <c r="B1066" s="576"/>
      <c r="C1066" s="577"/>
      <c r="D1066" s="140"/>
      <c r="E1066" s="578"/>
      <c r="F1066" s="321"/>
      <c r="G1066" s="321"/>
      <c r="H1066" s="140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</row>
    <row r="1067" spans="1:26" ht="12.75" customHeight="1">
      <c r="A1067" s="576"/>
      <c r="B1067" s="576"/>
      <c r="C1067" s="577"/>
      <c r="D1067" s="140"/>
      <c r="E1067" s="578"/>
      <c r="F1067" s="321"/>
      <c r="G1067" s="321"/>
      <c r="H1067" s="140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</row>
    <row r="1068" spans="1:26" ht="12.75" customHeight="1">
      <c r="A1068" s="576"/>
      <c r="B1068" s="576"/>
      <c r="C1068" s="577"/>
      <c r="D1068" s="140"/>
      <c r="E1068" s="578"/>
      <c r="F1068" s="321"/>
      <c r="G1068" s="321"/>
      <c r="H1068" s="140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</row>
    <row r="1069" spans="1:26" ht="12.75" customHeight="1">
      <c r="A1069" s="576"/>
      <c r="B1069" s="576"/>
      <c r="C1069" s="577"/>
      <c r="D1069" s="140"/>
      <c r="E1069" s="578"/>
      <c r="F1069" s="321"/>
      <c r="G1069" s="321"/>
      <c r="H1069" s="140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</row>
    <row r="1070" spans="1:26" ht="12.75" customHeight="1">
      <c r="A1070" s="576"/>
      <c r="B1070" s="576"/>
      <c r="C1070" s="577"/>
      <c r="D1070" s="140"/>
      <c r="E1070" s="578"/>
      <c r="F1070" s="321"/>
      <c r="G1070" s="321"/>
      <c r="H1070" s="140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</row>
    <row r="1071" spans="1:26" ht="12.75" customHeight="1">
      <c r="A1071" s="576"/>
      <c r="B1071" s="576"/>
      <c r="C1071" s="577"/>
      <c r="D1071" s="140"/>
      <c r="E1071" s="578"/>
      <c r="F1071" s="321"/>
      <c r="G1071" s="321"/>
      <c r="H1071" s="140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</row>
    <row r="1072" spans="1:26" ht="12.75" customHeight="1">
      <c r="A1072" s="576"/>
      <c r="B1072" s="576"/>
      <c r="C1072" s="577"/>
      <c r="D1072" s="140"/>
      <c r="E1072" s="578"/>
      <c r="F1072" s="321"/>
      <c r="G1072" s="321"/>
      <c r="H1072" s="140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</row>
    <row r="1073" spans="1:26" ht="12.75" customHeight="1">
      <c r="A1073" s="576"/>
      <c r="B1073" s="576"/>
      <c r="C1073" s="577"/>
      <c r="D1073" s="140"/>
      <c r="E1073" s="578"/>
      <c r="F1073" s="321"/>
      <c r="G1073" s="321"/>
      <c r="H1073" s="140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</row>
    <row r="1074" spans="1:26" ht="12.75" customHeight="1">
      <c r="A1074" s="576"/>
      <c r="B1074" s="576"/>
      <c r="C1074" s="577"/>
      <c r="D1074" s="140"/>
      <c r="E1074" s="578"/>
      <c r="F1074" s="321"/>
      <c r="G1074" s="321"/>
      <c r="H1074" s="140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</row>
    <row r="1075" spans="1:26" ht="12.75" customHeight="1">
      <c r="A1075" s="576"/>
      <c r="B1075" s="576"/>
      <c r="C1075" s="577"/>
      <c r="D1075" s="140"/>
      <c r="E1075" s="578"/>
      <c r="F1075" s="321"/>
      <c r="G1075" s="321"/>
      <c r="H1075" s="140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</row>
    <row r="1076" spans="1:26" ht="12.75" customHeight="1">
      <c r="A1076" s="576"/>
      <c r="B1076" s="576"/>
      <c r="C1076" s="577"/>
      <c r="D1076" s="140"/>
      <c r="E1076" s="578"/>
      <c r="F1076" s="321"/>
      <c r="G1076" s="321"/>
      <c r="H1076" s="140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</row>
    <row r="1077" spans="1:26" ht="12.75" customHeight="1">
      <c r="A1077" s="576"/>
      <c r="B1077" s="576"/>
      <c r="C1077" s="577"/>
      <c r="D1077" s="140"/>
      <c r="E1077" s="578"/>
      <c r="F1077" s="321"/>
      <c r="G1077" s="321"/>
      <c r="H1077" s="140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</row>
    <row r="1078" spans="1:26" ht="12.75" customHeight="1">
      <c r="A1078" s="576"/>
      <c r="B1078" s="576"/>
      <c r="C1078" s="577"/>
      <c r="D1078" s="140"/>
      <c r="E1078" s="578"/>
      <c r="F1078" s="321"/>
      <c r="G1078" s="321"/>
      <c r="H1078" s="140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</row>
    <row r="1079" spans="1:26" ht="12.75" customHeight="1">
      <c r="A1079" s="576"/>
      <c r="B1079" s="576"/>
      <c r="C1079" s="577"/>
      <c r="D1079" s="140"/>
      <c r="E1079" s="578"/>
      <c r="F1079" s="321"/>
      <c r="G1079" s="321"/>
      <c r="H1079" s="140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</row>
    <row r="1080" spans="1:26" ht="12.75" customHeight="1">
      <c r="A1080" s="576"/>
      <c r="B1080" s="576"/>
      <c r="C1080" s="577"/>
      <c r="D1080" s="140"/>
      <c r="E1080" s="578"/>
      <c r="F1080" s="321"/>
      <c r="G1080" s="321"/>
      <c r="H1080" s="140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</row>
    <row r="1081" spans="1:26" ht="12.75" customHeight="1">
      <c r="A1081" s="576"/>
      <c r="B1081" s="576"/>
      <c r="C1081" s="577"/>
      <c r="D1081" s="140"/>
      <c r="E1081" s="578"/>
      <c r="F1081" s="321"/>
      <c r="G1081" s="321"/>
      <c r="H1081" s="140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</row>
    <row r="1082" spans="1:26" ht="12.75" customHeight="1">
      <c r="A1082" s="576"/>
      <c r="B1082" s="576"/>
      <c r="C1082" s="577"/>
      <c r="D1082" s="140"/>
      <c r="E1082" s="578"/>
      <c r="F1082" s="321"/>
      <c r="G1082" s="321"/>
      <c r="H1082" s="140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</row>
    <row r="1083" spans="1:26" ht="12.75" customHeight="1">
      <c r="A1083" s="576"/>
      <c r="B1083" s="576"/>
      <c r="C1083" s="577"/>
      <c r="D1083" s="140"/>
      <c r="E1083" s="578"/>
      <c r="F1083" s="321"/>
      <c r="G1083" s="321"/>
      <c r="H1083" s="140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</row>
    <row r="1084" spans="1:26" ht="12.75" customHeight="1">
      <c r="A1084" s="576"/>
      <c r="B1084" s="576"/>
      <c r="C1084" s="577"/>
      <c r="D1084" s="140"/>
      <c r="E1084" s="578"/>
      <c r="F1084" s="321"/>
      <c r="G1084" s="321"/>
      <c r="H1084" s="140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</row>
    <row r="1085" spans="1:26" ht="12.75" customHeight="1">
      <c r="A1085" s="576"/>
      <c r="B1085" s="576"/>
      <c r="C1085" s="577"/>
      <c r="D1085" s="140"/>
      <c r="E1085" s="578"/>
      <c r="F1085" s="321"/>
      <c r="G1085" s="321"/>
      <c r="H1085" s="140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</row>
    <row r="1086" spans="1:26" ht="12.75" customHeight="1">
      <c r="A1086" s="576"/>
      <c r="B1086" s="576"/>
      <c r="C1086" s="577"/>
      <c r="D1086" s="140"/>
      <c r="E1086" s="578"/>
      <c r="F1086" s="321"/>
      <c r="G1086" s="321"/>
      <c r="H1086" s="140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</row>
    <row r="1087" spans="1:26" ht="12.75" customHeight="1">
      <c r="A1087" s="576"/>
      <c r="B1087" s="576"/>
      <c r="C1087" s="577"/>
      <c r="D1087" s="140"/>
      <c r="E1087" s="578"/>
      <c r="F1087" s="321"/>
      <c r="G1087" s="32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</row>
    <row r="1088" spans="1:26" ht="12.75" customHeight="1">
      <c r="A1088" s="576"/>
      <c r="B1088" s="576"/>
      <c r="C1088" s="577"/>
      <c r="D1088" s="140"/>
      <c r="E1088" s="578"/>
      <c r="F1088" s="321"/>
      <c r="G1088" s="32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</row>
    <row r="1089" spans="1:26" ht="12.75" customHeight="1">
      <c r="A1089" s="576"/>
      <c r="B1089" s="576"/>
      <c r="C1089" s="577"/>
      <c r="D1089" s="140"/>
      <c r="E1089" s="578"/>
      <c r="F1089" s="321"/>
      <c r="G1089" s="32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</row>
    <row r="1090" spans="1:26" ht="12.75" customHeight="1">
      <c r="A1090" s="576"/>
      <c r="B1090" s="576"/>
      <c r="C1090" s="577"/>
      <c r="D1090" s="140"/>
      <c r="E1090" s="578"/>
      <c r="F1090" s="321"/>
      <c r="G1090" s="32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</row>
    <row r="1091" spans="1:26" ht="12.75" customHeight="1">
      <c r="A1091" s="576"/>
      <c r="B1091" s="576"/>
      <c r="C1091" s="577"/>
      <c r="D1091" s="140"/>
      <c r="E1091" s="578"/>
      <c r="F1091" s="321"/>
      <c r="G1091" s="32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</row>
    <row r="1092" spans="1:26" ht="12.75" customHeight="1">
      <c r="A1092" s="576"/>
      <c r="B1092" s="576"/>
      <c r="C1092" s="577"/>
      <c r="D1092" s="140"/>
      <c r="E1092" s="578"/>
      <c r="F1092" s="321"/>
      <c r="G1092" s="32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</row>
    <row r="1093" spans="1:26" ht="12.75" customHeight="1">
      <c r="A1093" s="576"/>
      <c r="B1093" s="576"/>
      <c r="C1093" s="577"/>
      <c r="D1093" s="140"/>
      <c r="E1093" s="578"/>
      <c r="F1093" s="321"/>
      <c r="G1093" s="32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</row>
    <row r="1094" spans="1:26" ht="12.75" customHeight="1">
      <c r="A1094" s="576"/>
      <c r="B1094" s="576"/>
      <c r="C1094" s="577"/>
      <c r="D1094" s="140"/>
      <c r="E1094" s="578"/>
      <c r="F1094" s="321"/>
      <c r="G1094" s="32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</row>
    <row r="1095" spans="1:26" ht="12.75" customHeight="1">
      <c r="A1095" s="576"/>
      <c r="B1095" s="576"/>
      <c r="C1095" s="577"/>
      <c r="D1095" s="140"/>
      <c r="E1095" s="578"/>
      <c r="F1095" s="321"/>
      <c r="G1095" s="32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</row>
    <row r="1096" spans="1:26" ht="12.75" customHeight="1">
      <c r="A1096" s="576"/>
      <c r="B1096" s="576"/>
      <c r="C1096" s="577"/>
      <c r="D1096" s="140"/>
      <c r="E1096" s="578"/>
      <c r="F1096" s="321"/>
      <c r="G1096" s="32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</row>
    <row r="1097" spans="1:26" ht="12.75" customHeight="1">
      <c r="A1097" s="576"/>
      <c r="B1097" s="576"/>
      <c r="C1097" s="577"/>
      <c r="D1097" s="140"/>
      <c r="E1097" s="578"/>
      <c r="F1097" s="321"/>
      <c r="G1097" s="32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</row>
    <row r="1098" spans="1:26" ht="12.75" customHeight="1">
      <c r="A1098" s="576"/>
      <c r="B1098" s="576"/>
      <c r="C1098" s="577"/>
      <c r="D1098" s="140"/>
      <c r="E1098" s="578"/>
      <c r="F1098" s="321"/>
      <c r="G1098" s="32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</row>
    <row r="1099" spans="1:26" ht="12.75" customHeight="1">
      <c r="A1099" s="576"/>
      <c r="B1099" s="576"/>
      <c r="C1099" s="577"/>
      <c r="D1099" s="140"/>
      <c r="E1099" s="578"/>
      <c r="F1099" s="321"/>
      <c r="G1099" s="32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</row>
    <row r="1100" spans="1:26" ht="12.75" customHeight="1">
      <c r="A1100" s="576"/>
      <c r="B1100" s="576"/>
      <c r="C1100" s="577"/>
      <c r="D1100" s="140"/>
      <c r="E1100" s="578"/>
      <c r="F1100" s="321"/>
      <c r="G1100" s="32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</row>
    <row r="1101" spans="1:26" ht="12.75" customHeight="1">
      <c r="A1101" s="576"/>
      <c r="B1101" s="576"/>
      <c r="C1101" s="577"/>
      <c r="D1101" s="140"/>
      <c r="E1101" s="578"/>
      <c r="F1101" s="321"/>
      <c r="G1101" s="32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</row>
    <row r="1102" spans="1:26" ht="12.75" customHeight="1">
      <c r="A1102" s="576"/>
      <c r="B1102" s="576"/>
      <c r="C1102" s="577"/>
      <c r="D1102" s="140"/>
      <c r="E1102" s="578"/>
      <c r="F1102" s="321"/>
      <c r="G1102" s="32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</row>
    <row r="1103" spans="1:26" ht="12.75" customHeight="1">
      <c r="A1103" s="576"/>
      <c r="B1103" s="576"/>
      <c r="C1103" s="577"/>
      <c r="D1103" s="140"/>
      <c r="E1103" s="578"/>
      <c r="F1103" s="321"/>
      <c r="G1103" s="32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</row>
    <row r="1104" spans="1:26" ht="12.75" customHeight="1">
      <c r="A1104" s="576"/>
      <c r="B1104" s="576"/>
      <c r="C1104" s="577"/>
      <c r="D1104" s="140"/>
      <c r="E1104" s="578"/>
      <c r="F1104" s="321"/>
      <c r="G1104" s="32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</row>
    <row r="1105" spans="1:26" ht="12.75" customHeight="1">
      <c r="A1105" s="576"/>
      <c r="B1105" s="576"/>
      <c r="C1105" s="577"/>
      <c r="D1105" s="140"/>
      <c r="E1105" s="578"/>
      <c r="F1105" s="321"/>
      <c r="G1105" s="32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</row>
    <row r="1106" spans="1:26" ht="12.75" customHeight="1">
      <c r="A1106" s="576"/>
      <c r="B1106" s="576"/>
      <c r="C1106" s="577"/>
      <c r="D1106" s="140"/>
      <c r="E1106" s="578"/>
      <c r="F1106" s="321"/>
      <c r="G1106" s="32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</row>
    <row r="1107" spans="1:26" ht="12.75" customHeight="1">
      <c r="A1107" s="576"/>
      <c r="B1107" s="576"/>
      <c r="C1107" s="577"/>
      <c r="D1107" s="140"/>
      <c r="E1107" s="578"/>
      <c r="F1107" s="321"/>
      <c r="G1107" s="32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</row>
    <row r="1108" spans="1:26" ht="12.75" customHeight="1">
      <c r="A1108" s="576"/>
      <c r="B1108" s="576"/>
      <c r="C1108" s="577"/>
      <c r="D1108" s="140"/>
      <c r="E1108" s="578"/>
      <c r="F1108" s="321"/>
      <c r="G1108" s="32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</row>
    <row r="1109" spans="1:26" ht="12.75" customHeight="1">
      <c r="A1109" s="576"/>
      <c r="B1109" s="576"/>
      <c r="C1109" s="577"/>
      <c r="D1109" s="140"/>
      <c r="E1109" s="578"/>
      <c r="F1109" s="321"/>
      <c r="G1109" s="32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</row>
    <row r="1110" spans="1:26" ht="12.75" customHeight="1">
      <c r="A1110" s="576"/>
      <c r="B1110" s="576"/>
      <c r="C1110" s="577"/>
      <c r="D1110" s="140"/>
      <c r="E1110" s="578"/>
      <c r="F1110" s="321"/>
      <c r="G1110" s="32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</row>
    <row r="1111" spans="1:26" ht="12.75" customHeight="1">
      <c r="A1111" s="576"/>
      <c r="B1111" s="576"/>
      <c r="C1111" s="577"/>
      <c r="D1111" s="140"/>
      <c r="E1111" s="578"/>
      <c r="F1111" s="321"/>
      <c r="G1111" s="32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</row>
    <row r="1112" spans="1:26" ht="12.75" customHeight="1">
      <c r="A1112" s="576"/>
      <c r="B1112" s="576"/>
      <c r="C1112" s="577"/>
      <c r="D1112" s="140"/>
      <c r="E1112" s="578"/>
      <c r="F1112" s="321"/>
      <c r="G1112" s="32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</row>
    <row r="1113" spans="1:26" ht="12.75" customHeight="1">
      <c r="A1113" s="576"/>
      <c r="B1113" s="576"/>
      <c r="C1113" s="577"/>
      <c r="D1113" s="140"/>
      <c r="E1113" s="578"/>
      <c r="F1113" s="321"/>
      <c r="G1113" s="32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</row>
    <row r="1114" spans="1:26" ht="12.75" customHeight="1">
      <c r="A1114" s="576"/>
      <c r="B1114" s="576"/>
      <c r="C1114" s="577"/>
      <c r="D1114" s="140"/>
      <c r="E1114" s="578"/>
      <c r="F1114" s="321"/>
      <c r="G1114" s="32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</row>
    <row r="1115" spans="1:26" ht="12.75" customHeight="1">
      <c r="A1115" s="576"/>
      <c r="B1115" s="576"/>
      <c r="C1115" s="577"/>
      <c r="D1115" s="140"/>
      <c r="E1115" s="578"/>
      <c r="F1115" s="321"/>
      <c r="G1115" s="32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</row>
    <row r="1116" spans="1:26" ht="12.75" customHeight="1">
      <c r="A1116" s="576"/>
      <c r="B1116" s="576"/>
      <c r="C1116" s="577"/>
      <c r="D1116" s="140"/>
      <c r="E1116" s="578"/>
      <c r="F1116" s="321"/>
      <c r="G1116" s="32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</row>
    <row r="1117" spans="1:26" ht="12.75" customHeight="1">
      <c r="A1117" s="576"/>
      <c r="B1117" s="576"/>
      <c r="C1117" s="577"/>
      <c r="D1117" s="140"/>
      <c r="E1117" s="578"/>
      <c r="F1117" s="321"/>
      <c r="G1117" s="32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</row>
    <row r="1118" spans="1:26" ht="12.75" customHeight="1">
      <c r="A1118" s="576"/>
      <c r="B1118" s="576"/>
      <c r="C1118" s="577"/>
      <c r="D1118" s="140"/>
      <c r="E1118" s="578"/>
      <c r="F1118" s="321"/>
      <c r="G1118" s="32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</row>
    <row r="1119" spans="1:26" ht="12.75" customHeight="1">
      <c r="A1119" s="576"/>
      <c r="B1119" s="576"/>
      <c r="C1119" s="577"/>
      <c r="D1119" s="140"/>
      <c r="E1119" s="578"/>
      <c r="F1119" s="321"/>
      <c r="G1119" s="32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</row>
    <row r="1120" spans="1:26" ht="12.75" customHeight="1">
      <c r="A1120" s="576"/>
      <c r="B1120" s="576"/>
      <c r="C1120" s="577"/>
      <c r="D1120" s="140"/>
      <c r="E1120" s="578"/>
      <c r="F1120" s="321"/>
      <c r="G1120" s="32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</row>
    <row r="1121" spans="1:26" ht="12.75" customHeight="1">
      <c r="A1121" s="576"/>
      <c r="B1121" s="576"/>
      <c r="C1121" s="577"/>
      <c r="D1121" s="140"/>
      <c r="E1121" s="578"/>
      <c r="F1121" s="321"/>
      <c r="G1121" s="32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</row>
    <row r="1122" spans="1:26" ht="12.75" customHeight="1">
      <c r="A1122" s="576"/>
      <c r="B1122" s="576"/>
      <c r="C1122" s="577"/>
      <c r="D1122" s="140"/>
      <c r="E1122" s="578"/>
      <c r="F1122" s="321"/>
      <c r="G1122" s="32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</row>
    <row r="1123" spans="1:26" ht="12.75" customHeight="1">
      <c r="A1123" s="576"/>
      <c r="B1123" s="576"/>
      <c r="C1123" s="577"/>
      <c r="D1123" s="140"/>
      <c r="E1123" s="578"/>
      <c r="F1123" s="321"/>
      <c r="G1123" s="32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</row>
    <row r="1124" spans="1:26" ht="12.75" customHeight="1">
      <c r="A1124" s="576"/>
      <c r="B1124" s="576"/>
      <c r="C1124" s="577"/>
      <c r="D1124" s="140"/>
      <c r="E1124" s="578"/>
      <c r="F1124" s="321"/>
      <c r="G1124" s="32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</row>
    <row r="1125" spans="1:26" ht="12.75" customHeight="1">
      <c r="A1125" s="576"/>
      <c r="B1125" s="576"/>
      <c r="C1125" s="577"/>
      <c r="D1125" s="140"/>
      <c r="E1125" s="578"/>
      <c r="F1125" s="321"/>
      <c r="G1125" s="32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</row>
    <row r="1126" spans="1:26" ht="12.75" customHeight="1">
      <c r="A1126" s="576"/>
      <c r="B1126" s="576"/>
      <c r="C1126" s="577"/>
      <c r="D1126" s="140"/>
      <c r="E1126" s="578"/>
      <c r="F1126" s="321"/>
      <c r="G1126" s="32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</row>
    <row r="1127" spans="1:26" ht="12.75" customHeight="1">
      <c r="A1127" s="576"/>
      <c r="B1127" s="576"/>
      <c r="C1127" s="577"/>
      <c r="D1127" s="140"/>
      <c r="E1127" s="578"/>
      <c r="F1127" s="321"/>
      <c r="G1127" s="32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</row>
    <row r="1128" spans="1:26" ht="12.75" customHeight="1">
      <c r="A1128" s="576"/>
      <c r="B1128" s="576"/>
      <c r="C1128" s="577"/>
      <c r="D1128" s="140"/>
      <c r="E1128" s="578"/>
      <c r="F1128" s="321"/>
      <c r="G1128" s="32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</row>
    <row r="1129" spans="1:26" ht="12.75" customHeight="1">
      <c r="A1129" s="576"/>
      <c r="B1129" s="576"/>
      <c r="C1129" s="577"/>
      <c r="D1129" s="140"/>
      <c r="E1129" s="578"/>
      <c r="F1129" s="321"/>
      <c r="G1129" s="32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</row>
    <row r="1130" spans="1:26" ht="12.75" customHeight="1">
      <c r="A1130" s="576"/>
      <c r="B1130" s="576"/>
      <c r="C1130" s="577"/>
      <c r="D1130" s="140"/>
      <c r="E1130" s="578"/>
      <c r="F1130" s="321"/>
      <c r="G1130" s="32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</row>
    <row r="1131" spans="1:26" ht="12.75" customHeight="1">
      <c r="A1131" s="576"/>
      <c r="B1131" s="576"/>
      <c r="C1131" s="577"/>
      <c r="D1131" s="140"/>
      <c r="E1131" s="578"/>
      <c r="F1131" s="321"/>
      <c r="G1131" s="32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</row>
    <row r="1132" spans="1:26" ht="12.75" customHeight="1">
      <c r="A1132" s="576"/>
      <c r="B1132" s="576"/>
      <c r="C1132" s="577"/>
      <c r="D1132" s="140"/>
      <c r="E1132" s="578"/>
      <c r="F1132" s="321"/>
      <c r="G1132" s="32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</row>
    <row r="1133" spans="1:26" ht="12.75" customHeight="1">
      <c r="A1133" s="576"/>
      <c r="B1133" s="576"/>
      <c r="C1133" s="577"/>
      <c r="D1133" s="140"/>
      <c r="E1133" s="578"/>
      <c r="F1133" s="321"/>
      <c r="G1133" s="32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</row>
    <row r="1134" spans="1:26" ht="12.75" customHeight="1">
      <c r="A1134" s="576"/>
      <c r="B1134" s="576"/>
      <c r="C1134" s="577"/>
      <c r="D1134" s="140"/>
      <c r="E1134" s="578"/>
      <c r="F1134" s="321"/>
      <c r="G1134" s="32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</row>
    <row r="1135" spans="1:26" ht="12.75" customHeight="1">
      <c r="A1135" s="576"/>
      <c r="B1135" s="576"/>
      <c r="C1135" s="577"/>
      <c r="D1135" s="140"/>
      <c r="E1135" s="578"/>
      <c r="F1135" s="321"/>
      <c r="G1135" s="32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</row>
    <row r="1136" spans="1:26" ht="12.75" customHeight="1">
      <c r="A1136" s="576"/>
      <c r="B1136" s="576"/>
      <c r="C1136" s="577"/>
      <c r="D1136" s="140"/>
      <c r="E1136" s="578"/>
      <c r="F1136" s="321"/>
      <c r="G1136" s="32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</row>
    <row r="1137" spans="1:26" ht="12.75" customHeight="1">
      <c r="A1137" s="576"/>
      <c r="B1137" s="576"/>
      <c r="C1137" s="577"/>
      <c r="D1137" s="140"/>
      <c r="E1137" s="578"/>
      <c r="F1137" s="321"/>
      <c r="G1137" s="32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</row>
    <row r="1138" spans="1:26" ht="12.75" customHeight="1">
      <c r="A1138" s="576"/>
      <c r="B1138" s="576"/>
      <c r="C1138" s="577"/>
      <c r="D1138" s="140"/>
      <c r="E1138" s="578"/>
      <c r="F1138" s="321"/>
      <c r="G1138" s="32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</row>
    <row r="1139" spans="1:26" ht="12.75" customHeight="1">
      <c r="A1139" s="576"/>
      <c r="B1139" s="576"/>
      <c r="C1139" s="577"/>
      <c r="D1139" s="140"/>
      <c r="E1139" s="578"/>
      <c r="F1139" s="321"/>
      <c r="G1139" s="32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</row>
    <row r="1140" spans="1:26" ht="12.75" customHeight="1">
      <c r="A1140" s="576"/>
      <c r="B1140" s="576"/>
      <c r="C1140" s="577"/>
      <c r="D1140" s="140"/>
      <c r="E1140" s="578"/>
      <c r="F1140" s="321"/>
      <c r="G1140" s="32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</row>
    <row r="1141" spans="1:26" ht="12.75" customHeight="1">
      <c r="A1141" s="576"/>
      <c r="B1141" s="576"/>
      <c r="C1141" s="577"/>
      <c r="D1141" s="140"/>
      <c r="E1141" s="578"/>
      <c r="F1141" s="321"/>
      <c r="G1141" s="32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</row>
    <row r="1142" spans="1:26" ht="12.75" customHeight="1">
      <c r="A1142" s="576"/>
      <c r="B1142" s="576"/>
      <c r="C1142" s="577"/>
      <c r="D1142" s="140"/>
      <c r="E1142" s="578"/>
      <c r="F1142" s="321"/>
      <c r="G1142" s="32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</row>
    <row r="1143" spans="1:26" ht="12.75" customHeight="1">
      <c r="A1143" s="576"/>
      <c r="B1143" s="576"/>
      <c r="C1143" s="577"/>
      <c r="D1143" s="140"/>
      <c r="E1143" s="578"/>
      <c r="F1143" s="321"/>
      <c r="G1143" s="32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</row>
    <row r="1144" spans="1:26" ht="12.75" customHeight="1">
      <c r="A1144" s="576"/>
      <c r="B1144" s="576"/>
      <c r="C1144" s="577"/>
      <c r="D1144" s="140"/>
      <c r="E1144" s="578"/>
      <c r="F1144" s="321"/>
      <c r="G1144" s="32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</row>
    <row r="1145" spans="1:26" ht="12.75" customHeight="1">
      <c r="A1145" s="576"/>
      <c r="B1145" s="576"/>
      <c r="C1145" s="577"/>
      <c r="D1145" s="140"/>
      <c r="E1145" s="578"/>
      <c r="F1145" s="321"/>
      <c r="G1145" s="32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</row>
    <row r="1146" spans="1:26" ht="12.75" customHeight="1">
      <c r="A1146" s="576"/>
      <c r="B1146" s="576"/>
      <c r="C1146" s="577"/>
      <c r="D1146" s="140"/>
      <c r="E1146" s="578"/>
      <c r="F1146" s="321"/>
      <c r="G1146" s="32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</row>
    <row r="1147" spans="1:26" ht="12.75" customHeight="1">
      <c r="A1147" s="576"/>
      <c r="B1147" s="576"/>
      <c r="C1147" s="577"/>
      <c r="D1147" s="140"/>
      <c r="E1147" s="578"/>
      <c r="F1147" s="321"/>
      <c r="G1147" s="32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</row>
    <row r="1148" spans="1:26" ht="12.75" customHeight="1">
      <c r="A1148" s="576"/>
      <c r="B1148" s="576"/>
      <c r="C1148" s="577"/>
      <c r="D1148" s="140"/>
      <c r="E1148" s="578"/>
      <c r="F1148" s="321"/>
      <c r="G1148" s="32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  <c r="U1148" s="140"/>
      <c r="V1148" s="140"/>
      <c r="W1148" s="140"/>
      <c r="X1148" s="140"/>
      <c r="Y1148" s="140"/>
      <c r="Z1148" s="140"/>
    </row>
    <row r="1149" spans="1:26" ht="12.75" customHeight="1">
      <c r="A1149" s="576"/>
      <c r="B1149" s="576"/>
      <c r="C1149" s="577"/>
      <c r="D1149" s="140"/>
      <c r="E1149" s="578"/>
      <c r="F1149" s="321"/>
      <c r="G1149" s="32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  <c r="U1149" s="140"/>
      <c r="V1149" s="140"/>
      <c r="W1149" s="140"/>
      <c r="X1149" s="140"/>
      <c r="Y1149" s="140"/>
      <c r="Z1149" s="140"/>
    </row>
    <row r="1150" spans="1:26" ht="12.75" customHeight="1">
      <c r="A1150" s="576"/>
      <c r="B1150" s="576"/>
      <c r="C1150" s="577"/>
      <c r="D1150" s="140"/>
      <c r="E1150" s="578"/>
      <c r="F1150" s="321"/>
      <c r="G1150" s="32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  <c r="U1150" s="140"/>
      <c r="V1150" s="140"/>
      <c r="W1150" s="140"/>
      <c r="X1150" s="140"/>
      <c r="Y1150" s="140"/>
      <c r="Z1150" s="140"/>
    </row>
    <row r="1151" spans="1:26" ht="12.75" customHeight="1">
      <c r="A1151" s="576"/>
      <c r="B1151" s="576"/>
      <c r="C1151" s="577"/>
      <c r="D1151" s="140"/>
      <c r="E1151" s="578"/>
      <c r="F1151" s="321"/>
      <c r="G1151" s="32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  <c r="U1151" s="140"/>
      <c r="V1151" s="140"/>
      <c r="W1151" s="140"/>
      <c r="X1151" s="140"/>
      <c r="Y1151" s="140"/>
      <c r="Z1151" s="140"/>
    </row>
    <row r="1152" spans="1:26" ht="12.75" customHeight="1">
      <c r="A1152" s="576"/>
      <c r="B1152" s="576"/>
      <c r="C1152" s="577"/>
      <c r="D1152" s="140"/>
      <c r="E1152" s="578"/>
      <c r="F1152" s="321"/>
      <c r="G1152" s="32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  <c r="U1152" s="140"/>
      <c r="V1152" s="140"/>
      <c r="W1152" s="140"/>
      <c r="X1152" s="140"/>
      <c r="Y1152" s="140"/>
      <c r="Z1152" s="140"/>
    </row>
    <row r="1153" spans="1:26" ht="12.75" customHeight="1">
      <c r="A1153" s="576"/>
      <c r="B1153" s="576"/>
      <c r="C1153" s="577"/>
      <c r="D1153" s="140"/>
      <c r="E1153" s="578"/>
      <c r="F1153" s="321"/>
      <c r="G1153" s="32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</row>
    <row r="1154" spans="1:26" ht="12.75" customHeight="1">
      <c r="A1154" s="576"/>
      <c r="B1154" s="576"/>
      <c r="C1154" s="577"/>
      <c r="D1154" s="140"/>
      <c r="E1154" s="578"/>
      <c r="F1154" s="321"/>
      <c r="G1154" s="32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</row>
    <row r="1155" spans="1:26" ht="12.75" customHeight="1">
      <c r="A1155" s="576"/>
      <c r="B1155" s="576"/>
      <c r="C1155" s="577"/>
      <c r="D1155" s="140"/>
      <c r="E1155" s="578"/>
      <c r="F1155" s="321"/>
      <c r="G1155" s="32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</row>
    <row r="1156" spans="1:26" ht="12.75" customHeight="1">
      <c r="A1156" s="576"/>
      <c r="B1156" s="576"/>
      <c r="C1156" s="577"/>
      <c r="D1156" s="140"/>
      <c r="E1156" s="578"/>
      <c r="F1156" s="321"/>
      <c r="G1156" s="32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</row>
    <row r="1157" spans="1:26" ht="12.75" customHeight="1">
      <c r="A1157" s="576"/>
      <c r="B1157" s="576"/>
      <c r="C1157" s="577"/>
      <c r="D1157" s="140"/>
      <c r="E1157" s="578"/>
      <c r="F1157" s="321"/>
      <c r="G1157" s="32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</row>
    <row r="1158" spans="1:26" ht="12.75" customHeight="1">
      <c r="A1158" s="576"/>
      <c r="B1158" s="576"/>
      <c r="C1158" s="577"/>
      <c r="D1158" s="140"/>
      <c r="E1158" s="578"/>
      <c r="F1158" s="321"/>
      <c r="G1158" s="32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  <c r="U1158" s="140"/>
      <c r="V1158" s="140"/>
      <c r="W1158" s="140"/>
      <c r="X1158" s="140"/>
      <c r="Y1158" s="140"/>
      <c r="Z1158" s="140"/>
    </row>
    <row r="1159" spans="1:26" ht="12.75" customHeight="1">
      <c r="A1159" s="576"/>
      <c r="B1159" s="576"/>
      <c r="C1159" s="577"/>
      <c r="D1159" s="140"/>
      <c r="E1159" s="578"/>
      <c r="F1159" s="321"/>
      <c r="G1159" s="32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</row>
    <row r="1160" spans="1:26" ht="12.75" customHeight="1">
      <c r="A1160" s="576"/>
      <c r="B1160" s="576"/>
      <c r="C1160" s="577"/>
      <c r="D1160" s="140"/>
      <c r="E1160" s="578"/>
      <c r="F1160" s="321"/>
      <c r="G1160" s="32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  <c r="U1160" s="140"/>
      <c r="V1160" s="140"/>
      <c r="W1160" s="140"/>
      <c r="X1160" s="140"/>
      <c r="Y1160" s="140"/>
      <c r="Z1160" s="140"/>
    </row>
    <row r="1161" spans="1:26" ht="12.75" customHeight="1">
      <c r="A1161" s="576"/>
      <c r="B1161" s="576"/>
      <c r="C1161" s="577"/>
      <c r="D1161" s="140"/>
      <c r="E1161" s="578"/>
      <c r="F1161" s="321"/>
      <c r="G1161" s="32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  <c r="U1161" s="140"/>
      <c r="V1161" s="140"/>
      <c r="W1161" s="140"/>
      <c r="X1161" s="140"/>
      <c r="Y1161" s="140"/>
      <c r="Z1161" s="140"/>
    </row>
    <row r="1162" spans="1:26" ht="12.75" customHeight="1">
      <c r="A1162" s="576"/>
      <c r="B1162" s="576"/>
      <c r="C1162" s="577"/>
      <c r="D1162" s="140"/>
      <c r="E1162" s="578"/>
      <c r="F1162" s="321"/>
      <c r="G1162" s="32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  <c r="Y1162" s="140"/>
      <c r="Z1162" s="140"/>
    </row>
    <row r="1163" spans="1:26" ht="12.75" customHeight="1">
      <c r="A1163" s="576"/>
      <c r="B1163" s="576"/>
      <c r="C1163" s="577"/>
      <c r="D1163" s="140"/>
      <c r="E1163" s="578"/>
      <c r="F1163" s="321"/>
      <c r="G1163" s="32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  <c r="U1163" s="140"/>
      <c r="V1163" s="140"/>
      <c r="W1163" s="140"/>
      <c r="X1163" s="140"/>
      <c r="Y1163" s="140"/>
      <c r="Z1163" s="140"/>
    </row>
    <row r="1164" spans="1:26" ht="12.75" customHeight="1">
      <c r="A1164" s="576"/>
      <c r="B1164" s="576"/>
      <c r="C1164" s="577"/>
      <c r="D1164" s="140"/>
      <c r="E1164" s="578"/>
      <c r="F1164" s="321"/>
      <c r="G1164" s="32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</row>
    <row r="1165" spans="1:26" ht="12.75" customHeight="1">
      <c r="A1165" s="576"/>
      <c r="B1165" s="576"/>
      <c r="C1165" s="577"/>
      <c r="D1165" s="140"/>
      <c r="E1165" s="578"/>
      <c r="F1165" s="321"/>
      <c r="G1165" s="32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  <c r="U1165" s="140"/>
      <c r="V1165" s="140"/>
      <c r="W1165" s="140"/>
      <c r="X1165" s="140"/>
      <c r="Y1165" s="140"/>
      <c r="Z1165" s="140"/>
    </row>
    <row r="1166" spans="1:26" ht="12.75" customHeight="1">
      <c r="A1166" s="576"/>
      <c r="B1166" s="576"/>
      <c r="C1166" s="577"/>
      <c r="D1166" s="140"/>
      <c r="E1166" s="578"/>
      <c r="F1166" s="321"/>
      <c r="G1166" s="32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</row>
    <row r="1167" spans="1:26" ht="12.75" customHeight="1">
      <c r="A1167" s="576"/>
      <c r="B1167" s="576"/>
      <c r="C1167" s="577"/>
      <c r="D1167" s="140"/>
      <c r="E1167" s="578"/>
      <c r="F1167" s="321"/>
      <c r="G1167" s="32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</row>
    <row r="1168" spans="1:26" ht="12.75" customHeight="1">
      <c r="A1168" s="576"/>
      <c r="B1168" s="576"/>
      <c r="C1168" s="577"/>
      <c r="D1168" s="140"/>
      <c r="E1168" s="578"/>
      <c r="F1168" s="321"/>
      <c r="G1168" s="32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</row>
    <row r="1169" spans="1:26" ht="12.75" customHeight="1">
      <c r="A1169" s="576"/>
      <c r="B1169" s="576"/>
      <c r="C1169" s="577"/>
      <c r="D1169" s="140"/>
      <c r="E1169" s="578"/>
      <c r="F1169" s="321"/>
      <c r="G1169" s="32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</row>
    <row r="1170" spans="1:26" ht="12.75" customHeight="1">
      <c r="A1170" s="576"/>
      <c r="B1170" s="576"/>
      <c r="C1170" s="577"/>
      <c r="D1170" s="140"/>
      <c r="E1170" s="578"/>
      <c r="F1170" s="321"/>
      <c r="G1170" s="32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</row>
    <row r="1171" spans="1:26" ht="12.75" customHeight="1">
      <c r="A1171" s="576"/>
      <c r="B1171" s="576"/>
      <c r="C1171" s="577"/>
      <c r="D1171" s="140"/>
      <c r="E1171" s="578"/>
      <c r="F1171" s="321"/>
      <c r="G1171" s="32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  <c r="U1171" s="140"/>
      <c r="V1171" s="140"/>
      <c r="W1171" s="140"/>
      <c r="X1171" s="140"/>
      <c r="Y1171" s="140"/>
      <c r="Z1171" s="140"/>
    </row>
    <row r="1172" spans="1:26" ht="12.75" customHeight="1">
      <c r="A1172" s="576"/>
      <c r="B1172" s="576"/>
      <c r="C1172" s="577"/>
      <c r="D1172" s="140"/>
      <c r="E1172" s="578"/>
      <c r="F1172" s="321"/>
      <c r="G1172" s="32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</row>
    <row r="1173" spans="1:26" ht="12.75" customHeight="1">
      <c r="A1173" s="576"/>
      <c r="B1173" s="576"/>
      <c r="C1173" s="577"/>
      <c r="D1173" s="140"/>
      <c r="E1173" s="578"/>
      <c r="F1173" s="321"/>
      <c r="G1173" s="32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  <c r="U1173" s="140"/>
      <c r="V1173" s="140"/>
      <c r="W1173" s="140"/>
      <c r="X1173" s="140"/>
      <c r="Y1173" s="140"/>
      <c r="Z1173" s="140"/>
    </row>
    <row r="1174" spans="1:26" ht="12.75" customHeight="1">
      <c r="A1174" s="576"/>
      <c r="B1174" s="576"/>
      <c r="C1174" s="577"/>
      <c r="D1174" s="140"/>
      <c r="E1174" s="578"/>
      <c r="F1174" s="321"/>
      <c r="G1174" s="32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  <c r="U1174" s="140"/>
      <c r="V1174" s="140"/>
      <c r="W1174" s="140"/>
      <c r="X1174" s="140"/>
      <c r="Y1174" s="140"/>
      <c r="Z1174" s="140"/>
    </row>
    <row r="1175" spans="1:26" ht="12.75" customHeight="1">
      <c r="A1175" s="576"/>
      <c r="B1175" s="576"/>
      <c r="C1175" s="577"/>
      <c r="D1175" s="140"/>
      <c r="E1175" s="578"/>
      <c r="F1175" s="321"/>
      <c r="G1175" s="32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  <c r="U1175" s="140"/>
      <c r="V1175" s="140"/>
      <c r="W1175" s="140"/>
      <c r="X1175" s="140"/>
      <c r="Y1175" s="140"/>
      <c r="Z1175" s="140"/>
    </row>
    <row r="1176" spans="1:26" ht="12.75" customHeight="1">
      <c r="A1176" s="576"/>
      <c r="B1176" s="576"/>
      <c r="C1176" s="577"/>
      <c r="D1176" s="140"/>
      <c r="E1176" s="578"/>
      <c r="F1176" s="321"/>
      <c r="G1176" s="32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  <c r="U1176" s="140"/>
      <c r="V1176" s="140"/>
      <c r="W1176" s="140"/>
      <c r="X1176" s="140"/>
      <c r="Y1176" s="140"/>
      <c r="Z1176" s="140"/>
    </row>
    <row r="1177" spans="1:26" ht="12.75" customHeight="1">
      <c r="A1177" s="576"/>
      <c r="B1177" s="576"/>
      <c r="C1177" s="577"/>
      <c r="D1177" s="140"/>
      <c r="E1177" s="578"/>
      <c r="F1177" s="321"/>
      <c r="G1177" s="32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  <c r="U1177" s="140"/>
      <c r="V1177" s="140"/>
      <c r="W1177" s="140"/>
      <c r="X1177" s="140"/>
      <c r="Y1177" s="140"/>
      <c r="Z1177" s="140"/>
    </row>
    <row r="1178" spans="1:26" ht="12.75" customHeight="1">
      <c r="A1178" s="576"/>
      <c r="B1178" s="576"/>
      <c r="C1178" s="577"/>
      <c r="D1178" s="140"/>
      <c r="E1178" s="578"/>
      <c r="F1178" s="321"/>
      <c r="G1178" s="32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  <c r="U1178" s="140"/>
      <c r="V1178" s="140"/>
      <c r="W1178" s="140"/>
      <c r="X1178" s="140"/>
      <c r="Y1178" s="140"/>
      <c r="Z1178" s="140"/>
    </row>
    <row r="1179" spans="1:26" ht="12.75" customHeight="1">
      <c r="A1179" s="576"/>
      <c r="B1179" s="576"/>
      <c r="C1179" s="577"/>
      <c r="D1179" s="140"/>
      <c r="E1179" s="578"/>
      <c r="F1179" s="321"/>
      <c r="G1179" s="32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140"/>
      <c r="X1179" s="140"/>
      <c r="Y1179" s="140"/>
      <c r="Z1179" s="140"/>
    </row>
    <row r="1180" spans="1:26" ht="12.75" customHeight="1">
      <c r="A1180" s="576"/>
      <c r="B1180" s="576"/>
      <c r="C1180" s="577"/>
      <c r="D1180" s="140"/>
      <c r="E1180" s="578"/>
      <c r="F1180" s="321"/>
      <c r="G1180" s="32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  <c r="U1180" s="140"/>
      <c r="V1180" s="140"/>
      <c r="W1180" s="140"/>
      <c r="X1180" s="140"/>
      <c r="Y1180" s="140"/>
      <c r="Z1180" s="140"/>
    </row>
    <row r="1181" spans="1:26" ht="12.75" customHeight="1">
      <c r="A1181" s="576"/>
      <c r="B1181" s="576"/>
      <c r="C1181" s="577"/>
      <c r="D1181" s="140"/>
      <c r="E1181" s="578"/>
      <c r="F1181" s="321"/>
      <c r="G1181" s="32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140"/>
      <c r="X1181" s="140"/>
      <c r="Y1181" s="140"/>
      <c r="Z1181" s="140"/>
    </row>
    <row r="1182" spans="1:26" ht="12.75" customHeight="1">
      <c r="A1182" s="576"/>
      <c r="B1182" s="576"/>
      <c r="C1182" s="577"/>
      <c r="D1182" s="140"/>
      <c r="E1182" s="578"/>
      <c r="F1182" s="321"/>
      <c r="G1182" s="32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  <c r="U1182" s="140"/>
      <c r="V1182" s="140"/>
      <c r="W1182" s="140"/>
      <c r="X1182" s="140"/>
      <c r="Y1182" s="140"/>
      <c r="Z1182" s="140"/>
    </row>
    <row r="1183" spans="1:26" ht="12.75" customHeight="1">
      <c r="A1183" s="576"/>
      <c r="B1183" s="576"/>
      <c r="C1183" s="577"/>
      <c r="D1183" s="140"/>
      <c r="E1183" s="578"/>
      <c r="F1183" s="321"/>
      <c r="G1183" s="32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</row>
    <row r="1184" spans="1:26" ht="12.75" customHeight="1">
      <c r="A1184" s="576"/>
      <c r="B1184" s="576"/>
      <c r="C1184" s="577"/>
      <c r="D1184" s="140"/>
      <c r="E1184" s="578"/>
      <c r="F1184" s="321"/>
      <c r="G1184" s="32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  <c r="U1184" s="140"/>
      <c r="V1184" s="140"/>
      <c r="W1184" s="140"/>
      <c r="X1184" s="140"/>
      <c r="Y1184" s="140"/>
      <c r="Z1184" s="140"/>
    </row>
    <row r="1185" spans="1:26" ht="12.75" customHeight="1">
      <c r="A1185" s="576"/>
      <c r="B1185" s="576"/>
      <c r="C1185" s="577"/>
      <c r="D1185" s="140"/>
      <c r="E1185" s="578"/>
      <c r="F1185" s="321"/>
      <c r="G1185" s="32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</row>
    <row r="1186" spans="1:26" ht="12.75" customHeight="1">
      <c r="A1186" s="576"/>
      <c r="B1186" s="576"/>
      <c r="C1186" s="577"/>
      <c r="D1186" s="140"/>
      <c r="E1186" s="578"/>
      <c r="F1186" s="321"/>
      <c r="G1186" s="32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</row>
    <row r="1187" spans="1:26" ht="12.75" customHeight="1">
      <c r="A1187" s="576"/>
      <c r="B1187" s="576"/>
      <c r="C1187" s="577"/>
      <c r="D1187" s="140"/>
      <c r="E1187" s="578"/>
      <c r="F1187" s="321"/>
      <c r="G1187" s="32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</row>
    <row r="1188" spans="1:26" ht="12.75" customHeight="1">
      <c r="A1188" s="576"/>
      <c r="B1188" s="576"/>
      <c r="C1188" s="577"/>
      <c r="D1188" s="140"/>
      <c r="E1188" s="578"/>
      <c r="F1188" s="321"/>
      <c r="G1188" s="32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</row>
    <row r="1189" spans="1:26" ht="12.75" customHeight="1">
      <c r="A1189" s="576"/>
      <c r="B1189" s="576"/>
      <c r="C1189" s="577"/>
      <c r="D1189" s="140"/>
      <c r="E1189" s="578"/>
      <c r="F1189" s="321"/>
      <c r="G1189" s="32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</row>
    <row r="1190" spans="1:26" ht="12.75" customHeight="1">
      <c r="A1190" s="576"/>
      <c r="B1190" s="576"/>
      <c r="C1190" s="577"/>
      <c r="D1190" s="140"/>
      <c r="E1190" s="578"/>
      <c r="F1190" s="321"/>
      <c r="G1190" s="32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  <c r="U1190" s="140"/>
      <c r="V1190" s="140"/>
      <c r="W1190" s="140"/>
      <c r="X1190" s="140"/>
      <c r="Y1190" s="140"/>
      <c r="Z1190" s="140"/>
    </row>
    <row r="1191" spans="1:26" ht="12.75" customHeight="1">
      <c r="A1191" s="576"/>
      <c r="B1191" s="576"/>
      <c r="C1191" s="577"/>
      <c r="D1191" s="140"/>
      <c r="E1191" s="578"/>
      <c r="F1191" s="321"/>
      <c r="G1191" s="32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  <c r="U1191" s="140"/>
      <c r="V1191" s="140"/>
      <c r="W1191" s="140"/>
      <c r="X1191" s="140"/>
      <c r="Y1191" s="140"/>
      <c r="Z1191" s="140"/>
    </row>
    <row r="1192" spans="1:26" ht="12.75" customHeight="1">
      <c r="A1192" s="576"/>
      <c r="B1192" s="576"/>
      <c r="C1192" s="577"/>
      <c r="D1192" s="140"/>
      <c r="E1192" s="578"/>
      <c r="F1192" s="321"/>
      <c r="G1192" s="32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  <c r="U1192" s="140"/>
      <c r="V1192" s="140"/>
      <c r="W1192" s="140"/>
      <c r="X1192" s="140"/>
      <c r="Y1192" s="140"/>
      <c r="Z1192" s="140"/>
    </row>
    <row r="1193" spans="1:26" ht="12.75" customHeight="1">
      <c r="A1193" s="576"/>
      <c r="B1193" s="576"/>
      <c r="C1193" s="577"/>
      <c r="D1193" s="140"/>
      <c r="E1193" s="578"/>
      <c r="F1193" s="321"/>
      <c r="G1193" s="32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140"/>
      <c r="X1193" s="140"/>
      <c r="Y1193" s="140"/>
      <c r="Z1193" s="140"/>
    </row>
    <row r="1194" spans="1:26" ht="12.75" customHeight="1">
      <c r="A1194" s="576"/>
      <c r="B1194" s="576"/>
      <c r="C1194" s="577"/>
      <c r="D1194" s="140"/>
      <c r="E1194" s="578"/>
      <c r="F1194" s="321"/>
      <c r="G1194" s="32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140"/>
      <c r="X1194" s="140"/>
      <c r="Y1194" s="140"/>
      <c r="Z1194" s="140"/>
    </row>
    <row r="1195" spans="1:26" ht="12.75" customHeight="1">
      <c r="A1195" s="576"/>
      <c r="B1195" s="576"/>
      <c r="C1195" s="577"/>
      <c r="D1195" s="140"/>
      <c r="E1195" s="578"/>
      <c r="F1195" s="321"/>
      <c r="G1195" s="32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140"/>
      <c r="X1195" s="140"/>
      <c r="Y1195" s="140"/>
      <c r="Z1195" s="140"/>
    </row>
    <row r="1196" spans="1:26" ht="12.75" customHeight="1">
      <c r="A1196" s="576"/>
      <c r="B1196" s="576"/>
      <c r="C1196" s="577"/>
      <c r="D1196" s="140"/>
      <c r="E1196" s="578"/>
      <c r="F1196" s="321"/>
      <c r="G1196" s="32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  <c r="U1196" s="140"/>
      <c r="V1196" s="140"/>
      <c r="W1196" s="140"/>
      <c r="X1196" s="140"/>
      <c r="Y1196" s="140"/>
      <c r="Z1196" s="140"/>
    </row>
    <row r="1197" spans="1:26" ht="12.75" customHeight="1">
      <c r="A1197" s="576"/>
      <c r="B1197" s="576"/>
      <c r="C1197" s="577"/>
      <c r="D1197" s="140"/>
      <c r="E1197" s="578"/>
      <c r="F1197" s="321"/>
      <c r="G1197" s="32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  <c r="U1197" s="140"/>
      <c r="V1197" s="140"/>
      <c r="W1197" s="140"/>
      <c r="X1197" s="140"/>
      <c r="Y1197" s="140"/>
      <c r="Z1197" s="140"/>
    </row>
    <row r="1198" spans="1:26" ht="12.75" customHeight="1">
      <c r="A1198" s="576"/>
      <c r="B1198" s="576"/>
      <c r="C1198" s="577"/>
      <c r="D1198" s="140"/>
      <c r="E1198" s="578"/>
      <c r="F1198" s="321"/>
      <c r="G1198" s="32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</row>
    <row r="1199" spans="1:26" ht="12.75" customHeight="1">
      <c r="A1199" s="576"/>
      <c r="B1199" s="576"/>
      <c r="C1199" s="577"/>
      <c r="D1199" s="140"/>
      <c r="E1199" s="578"/>
      <c r="F1199" s="321"/>
      <c r="G1199" s="32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</row>
    <row r="1200" spans="1:26" ht="12.75" customHeight="1">
      <c r="A1200" s="576"/>
      <c r="B1200" s="576"/>
      <c r="C1200" s="577"/>
      <c r="D1200" s="140"/>
      <c r="E1200" s="578"/>
      <c r="F1200" s="321"/>
      <c r="G1200" s="32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</row>
    <row r="1201" spans="1:26" ht="12.75" customHeight="1">
      <c r="A1201" s="576"/>
      <c r="B1201" s="576"/>
      <c r="C1201" s="577"/>
      <c r="D1201" s="140"/>
      <c r="E1201" s="578"/>
      <c r="F1201" s="321"/>
      <c r="G1201" s="32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</row>
    <row r="1202" spans="1:26" ht="12.75" customHeight="1">
      <c r="A1202" s="576"/>
      <c r="B1202" s="576"/>
      <c r="C1202" s="577"/>
      <c r="D1202" s="140"/>
      <c r="E1202" s="578"/>
      <c r="F1202" s="321"/>
      <c r="G1202" s="32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</row>
    <row r="1203" spans="1:26" ht="12.75" customHeight="1">
      <c r="A1203" s="576"/>
      <c r="B1203" s="576"/>
      <c r="C1203" s="577"/>
      <c r="D1203" s="140"/>
      <c r="E1203" s="578"/>
      <c r="F1203" s="321"/>
      <c r="G1203" s="32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  <c r="U1203" s="140"/>
      <c r="V1203" s="140"/>
      <c r="W1203" s="140"/>
      <c r="X1203" s="140"/>
      <c r="Y1203" s="140"/>
      <c r="Z1203" s="140"/>
    </row>
    <row r="1204" spans="1:26" ht="12.75" customHeight="1">
      <c r="A1204" s="576"/>
      <c r="B1204" s="576"/>
      <c r="C1204" s="577"/>
      <c r="D1204" s="140"/>
      <c r="E1204" s="578"/>
      <c r="F1204" s="321"/>
      <c r="G1204" s="32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  <c r="U1204" s="140"/>
      <c r="V1204" s="140"/>
      <c r="W1204" s="140"/>
      <c r="X1204" s="140"/>
      <c r="Y1204" s="140"/>
      <c r="Z1204" s="140"/>
    </row>
    <row r="1205" spans="1:26" ht="12.75" customHeight="1">
      <c r="A1205" s="576"/>
      <c r="B1205" s="576"/>
      <c r="C1205" s="577"/>
      <c r="D1205" s="140"/>
      <c r="E1205" s="578"/>
      <c r="F1205" s="321"/>
      <c r="G1205" s="32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  <c r="U1205" s="140"/>
      <c r="V1205" s="140"/>
      <c r="W1205" s="140"/>
      <c r="X1205" s="140"/>
      <c r="Y1205" s="140"/>
      <c r="Z1205" s="140"/>
    </row>
    <row r="1206" spans="1:26" ht="12.75" customHeight="1">
      <c r="A1206" s="576"/>
      <c r="B1206" s="576"/>
      <c r="C1206" s="577"/>
      <c r="D1206" s="140"/>
      <c r="E1206" s="578"/>
      <c r="F1206" s="321"/>
      <c r="G1206" s="32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  <c r="U1206" s="140"/>
      <c r="V1206" s="140"/>
      <c r="W1206" s="140"/>
      <c r="X1206" s="140"/>
      <c r="Y1206" s="140"/>
      <c r="Z1206" s="140"/>
    </row>
    <row r="1207" spans="1:26" ht="12.75" customHeight="1">
      <c r="A1207" s="576"/>
      <c r="B1207" s="576"/>
      <c r="C1207" s="577"/>
      <c r="D1207" s="140"/>
      <c r="E1207" s="578"/>
      <c r="F1207" s="321"/>
      <c r="G1207" s="32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  <c r="U1207" s="140"/>
      <c r="V1207" s="140"/>
      <c r="W1207" s="140"/>
      <c r="X1207" s="140"/>
      <c r="Y1207" s="140"/>
      <c r="Z1207" s="140"/>
    </row>
    <row r="1208" spans="1:26" ht="12.75" customHeight="1">
      <c r="A1208" s="576"/>
      <c r="B1208" s="576"/>
      <c r="C1208" s="577"/>
      <c r="D1208" s="140"/>
      <c r="E1208" s="578"/>
      <c r="F1208" s="321"/>
      <c r="G1208" s="32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</row>
    <row r="1209" spans="1:26" ht="12.75" customHeight="1">
      <c r="A1209" s="576"/>
      <c r="B1209" s="576"/>
      <c r="C1209" s="577"/>
      <c r="D1209" s="140"/>
      <c r="E1209" s="578"/>
      <c r="F1209" s="321"/>
      <c r="G1209" s="32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  <c r="U1209" s="140"/>
      <c r="V1209" s="140"/>
      <c r="W1209" s="140"/>
      <c r="X1209" s="140"/>
      <c r="Y1209" s="140"/>
      <c r="Z1209" s="140"/>
    </row>
    <row r="1210" spans="1:26" ht="12.75" customHeight="1">
      <c r="A1210" s="576"/>
      <c r="B1210" s="576"/>
      <c r="C1210" s="577"/>
      <c r="D1210" s="140"/>
      <c r="E1210" s="578"/>
      <c r="F1210" s="321"/>
      <c r="G1210" s="32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  <c r="U1210" s="140"/>
      <c r="V1210" s="140"/>
      <c r="W1210" s="140"/>
      <c r="X1210" s="140"/>
      <c r="Y1210" s="140"/>
      <c r="Z1210" s="140"/>
    </row>
    <row r="1211" spans="1:26" ht="12.75" customHeight="1">
      <c r="A1211" s="576"/>
      <c r="B1211" s="576"/>
      <c r="C1211" s="577"/>
      <c r="D1211" s="140"/>
      <c r="E1211" s="578"/>
      <c r="F1211" s="321"/>
      <c r="G1211" s="32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</row>
    <row r="1212" spans="1:26" ht="12.75" customHeight="1">
      <c r="A1212" s="576"/>
      <c r="B1212" s="576"/>
      <c r="C1212" s="577"/>
      <c r="D1212" s="140"/>
      <c r="E1212" s="578"/>
      <c r="F1212" s="321"/>
      <c r="G1212" s="32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</row>
    <row r="1213" spans="1:26" ht="12.75" customHeight="1">
      <c r="A1213" s="576"/>
      <c r="B1213" s="576"/>
      <c r="C1213" s="577"/>
      <c r="D1213" s="140"/>
      <c r="E1213" s="578"/>
      <c r="F1213" s="321"/>
      <c r="G1213" s="32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</row>
    <row r="1214" spans="1:26" ht="12.75" customHeight="1">
      <c r="A1214" s="576"/>
      <c r="B1214" s="576"/>
      <c r="C1214" s="577"/>
      <c r="D1214" s="140"/>
      <c r="E1214" s="578"/>
      <c r="F1214" s="321"/>
      <c r="G1214" s="32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</row>
    <row r="1215" spans="1:26" ht="12.75" customHeight="1">
      <c r="A1215" s="576"/>
      <c r="B1215" s="576"/>
      <c r="C1215" s="577"/>
      <c r="D1215" s="140"/>
      <c r="E1215" s="578"/>
      <c r="F1215" s="321"/>
      <c r="G1215" s="32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</row>
    <row r="1216" spans="1:26" ht="12.75" customHeight="1">
      <c r="A1216" s="576"/>
      <c r="B1216" s="576"/>
      <c r="C1216" s="577"/>
      <c r="D1216" s="140"/>
      <c r="E1216" s="578"/>
      <c r="F1216" s="321"/>
      <c r="G1216" s="32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  <c r="U1216" s="140"/>
      <c r="V1216" s="140"/>
      <c r="W1216" s="140"/>
      <c r="X1216" s="140"/>
      <c r="Y1216" s="140"/>
      <c r="Z1216" s="140"/>
    </row>
    <row r="1217" spans="1:26" ht="12.75" customHeight="1">
      <c r="A1217" s="576"/>
      <c r="B1217" s="576"/>
      <c r="C1217" s="577"/>
      <c r="D1217" s="140"/>
      <c r="E1217" s="578"/>
      <c r="F1217" s="321"/>
      <c r="G1217" s="32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  <c r="U1217" s="140"/>
      <c r="V1217" s="140"/>
      <c r="W1217" s="140"/>
      <c r="X1217" s="140"/>
      <c r="Y1217" s="140"/>
      <c r="Z1217" s="140"/>
    </row>
    <row r="1218" spans="1:26" ht="12.75" customHeight="1">
      <c r="A1218" s="576"/>
      <c r="B1218" s="576"/>
      <c r="C1218" s="577"/>
      <c r="D1218" s="140"/>
      <c r="E1218" s="578"/>
      <c r="F1218" s="321"/>
      <c r="G1218" s="32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  <c r="U1218" s="140"/>
      <c r="V1218" s="140"/>
      <c r="W1218" s="140"/>
      <c r="X1218" s="140"/>
      <c r="Y1218" s="140"/>
      <c r="Z1218" s="140"/>
    </row>
    <row r="1219" spans="1:26" ht="12.75" customHeight="1">
      <c r="A1219" s="576"/>
      <c r="B1219" s="576"/>
      <c r="C1219" s="577"/>
      <c r="D1219" s="140"/>
      <c r="E1219" s="578"/>
      <c r="F1219" s="321"/>
      <c r="G1219" s="32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140"/>
      <c r="X1219" s="140"/>
      <c r="Y1219" s="140"/>
      <c r="Z1219" s="140"/>
    </row>
    <row r="1220" spans="1:26" ht="12.75" customHeight="1">
      <c r="A1220" s="576"/>
      <c r="B1220" s="576"/>
      <c r="C1220" s="577"/>
      <c r="D1220" s="140"/>
      <c r="E1220" s="578"/>
      <c r="F1220" s="321"/>
      <c r="G1220" s="32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  <c r="U1220" s="140"/>
      <c r="V1220" s="140"/>
      <c r="W1220" s="140"/>
      <c r="X1220" s="140"/>
      <c r="Y1220" s="140"/>
      <c r="Z1220" s="140"/>
    </row>
    <row r="1221" spans="1:26" ht="12.75" customHeight="1">
      <c r="A1221" s="576"/>
      <c r="B1221" s="576"/>
      <c r="C1221" s="577"/>
      <c r="D1221" s="140"/>
      <c r="E1221" s="578"/>
      <c r="F1221" s="321"/>
      <c r="G1221" s="32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  <c r="U1221" s="140"/>
      <c r="V1221" s="140"/>
      <c r="W1221" s="140"/>
      <c r="X1221" s="140"/>
      <c r="Y1221" s="140"/>
      <c r="Z1221" s="140"/>
    </row>
    <row r="1222" spans="1:26" ht="12.75" customHeight="1">
      <c r="A1222" s="576"/>
      <c r="B1222" s="576"/>
      <c r="C1222" s="577"/>
      <c r="D1222" s="140"/>
      <c r="E1222" s="578"/>
      <c r="F1222" s="321"/>
      <c r="G1222" s="32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  <c r="U1222" s="140"/>
      <c r="V1222" s="140"/>
      <c r="W1222" s="140"/>
      <c r="X1222" s="140"/>
      <c r="Y1222" s="140"/>
      <c r="Z1222" s="140"/>
    </row>
    <row r="1223" spans="1:26" ht="12.75" customHeight="1">
      <c r="A1223" s="576"/>
      <c r="B1223" s="576"/>
      <c r="C1223" s="577"/>
      <c r="D1223" s="140"/>
      <c r="E1223" s="578"/>
      <c r="F1223" s="321"/>
      <c r="G1223" s="32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  <c r="U1223" s="140"/>
      <c r="V1223" s="140"/>
      <c r="W1223" s="140"/>
      <c r="X1223" s="140"/>
      <c r="Y1223" s="140"/>
      <c r="Z1223" s="140"/>
    </row>
    <row r="1224" spans="1:26" ht="12.75" customHeight="1">
      <c r="A1224" s="576"/>
      <c r="B1224" s="576"/>
      <c r="C1224" s="577"/>
      <c r="D1224" s="140"/>
      <c r="E1224" s="578"/>
      <c r="F1224" s="321"/>
      <c r="G1224" s="32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140"/>
      <c r="X1224" s="140"/>
      <c r="Y1224" s="140"/>
      <c r="Z1224" s="140"/>
    </row>
    <row r="1225" spans="1:26" ht="12.75" customHeight="1">
      <c r="A1225" s="576"/>
      <c r="B1225" s="576"/>
      <c r="C1225" s="577"/>
      <c r="D1225" s="140"/>
      <c r="E1225" s="578"/>
      <c r="F1225" s="321"/>
      <c r="G1225" s="32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  <c r="U1225" s="140"/>
      <c r="V1225" s="140"/>
      <c r="W1225" s="140"/>
      <c r="X1225" s="140"/>
      <c r="Y1225" s="140"/>
      <c r="Z1225" s="140"/>
    </row>
    <row r="1226" spans="1:26" ht="12.75" customHeight="1">
      <c r="A1226" s="576"/>
      <c r="B1226" s="576"/>
      <c r="C1226" s="577"/>
      <c r="D1226" s="140"/>
      <c r="E1226" s="578"/>
      <c r="F1226" s="321"/>
      <c r="G1226" s="32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  <c r="U1226" s="140"/>
      <c r="V1226" s="140"/>
      <c r="W1226" s="140"/>
      <c r="X1226" s="140"/>
      <c r="Y1226" s="140"/>
      <c r="Z1226" s="140"/>
    </row>
    <row r="1227" spans="1:26" ht="12.75" customHeight="1">
      <c r="A1227" s="576"/>
      <c r="B1227" s="576"/>
      <c r="C1227" s="577"/>
      <c r="D1227" s="140"/>
      <c r="E1227" s="578"/>
      <c r="F1227" s="321"/>
      <c r="G1227" s="32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  <c r="U1227" s="140"/>
      <c r="V1227" s="140"/>
      <c r="W1227" s="140"/>
      <c r="X1227" s="140"/>
      <c r="Y1227" s="140"/>
      <c r="Z1227" s="140"/>
    </row>
    <row r="1228" spans="1:26" ht="12.75" customHeight="1">
      <c r="A1228" s="576"/>
      <c r="B1228" s="576"/>
      <c r="C1228" s="577"/>
      <c r="D1228" s="140"/>
      <c r="E1228" s="578"/>
      <c r="F1228" s="321"/>
      <c r="G1228" s="32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140"/>
      <c r="X1228" s="140"/>
      <c r="Y1228" s="140"/>
      <c r="Z1228" s="140"/>
    </row>
    <row r="1229" spans="1:26" ht="12.75" customHeight="1">
      <c r="A1229" s="576"/>
      <c r="B1229" s="576"/>
      <c r="C1229" s="577"/>
      <c r="D1229" s="140"/>
      <c r="E1229" s="578"/>
      <c r="F1229" s="321"/>
      <c r="G1229" s="32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140"/>
      <c r="X1229" s="140"/>
      <c r="Y1229" s="140"/>
      <c r="Z1229" s="140"/>
    </row>
    <row r="1230" spans="1:26" ht="12.75" customHeight="1">
      <c r="A1230" s="576"/>
      <c r="B1230" s="576"/>
      <c r="C1230" s="577"/>
      <c r="D1230" s="140"/>
      <c r="E1230" s="578"/>
      <c r="F1230" s="321"/>
      <c r="G1230" s="32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</row>
    <row r="1231" spans="1:26" ht="12.75" customHeight="1">
      <c r="A1231" s="576"/>
      <c r="B1231" s="576"/>
      <c r="C1231" s="577"/>
      <c r="D1231" s="140"/>
      <c r="E1231" s="578"/>
      <c r="F1231" s="321"/>
      <c r="G1231" s="32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</row>
    <row r="1232" spans="1:26" ht="12.75" customHeight="1">
      <c r="A1232" s="576"/>
      <c r="B1232" s="576"/>
      <c r="C1232" s="577"/>
      <c r="D1232" s="140"/>
      <c r="E1232" s="578"/>
      <c r="F1232" s="321"/>
      <c r="G1232" s="32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</row>
    <row r="1233" spans="1:26" ht="12.75" customHeight="1">
      <c r="A1233" s="576"/>
      <c r="B1233" s="576"/>
      <c r="C1233" s="577"/>
      <c r="D1233" s="140"/>
      <c r="E1233" s="578"/>
      <c r="F1233" s="321"/>
      <c r="G1233" s="32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</row>
    <row r="1234" spans="1:26" ht="12.75" customHeight="1">
      <c r="A1234" s="576"/>
      <c r="B1234" s="576"/>
      <c r="C1234" s="577"/>
      <c r="D1234" s="140"/>
      <c r="E1234" s="578"/>
      <c r="F1234" s="321"/>
      <c r="G1234" s="32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</row>
    <row r="1235" spans="1:26" ht="12.75" customHeight="1">
      <c r="A1235" s="576"/>
      <c r="B1235" s="576"/>
      <c r="C1235" s="577"/>
      <c r="D1235" s="140"/>
      <c r="E1235" s="578"/>
      <c r="F1235" s="321"/>
      <c r="G1235" s="32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  <c r="U1235" s="140"/>
      <c r="V1235" s="140"/>
      <c r="W1235" s="140"/>
      <c r="X1235" s="140"/>
      <c r="Y1235" s="140"/>
      <c r="Z1235" s="140"/>
    </row>
    <row r="1236" spans="1:26" ht="12.75" customHeight="1">
      <c r="A1236" s="576"/>
      <c r="B1236" s="576"/>
      <c r="C1236" s="577"/>
      <c r="D1236" s="140"/>
      <c r="E1236" s="578"/>
      <c r="F1236" s="321"/>
      <c r="G1236" s="32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  <c r="U1236" s="140"/>
      <c r="V1236" s="140"/>
      <c r="W1236" s="140"/>
      <c r="X1236" s="140"/>
      <c r="Y1236" s="140"/>
      <c r="Z1236" s="140"/>
    </row>
    <row r="1237" spans="1:26" ht="12.75" customHeight="1">
      <c r="A1237" s="576"/>
      <c r="B1237" s="576"/>
      <c r="C1237" s="577"/>
      <c r="D1237" s="140"/>
      <c r="E1237" s="578"/>
      <c r="F1237" s="321"/>
      <c r="G1237" s="32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  <c r="U1237" s="140"/>
      <c r="V1237" s="140"/>
      <c r="W1237" s="140"/>
      <c r="X1237" s="140"/>
      <c r="Y1237" s="140"/>
      <c r="Z1237" s="140"/>
    </row>
    <row r="1238" spans="1:26" ht="12.75" customHeight="1">
      <c r="A1238" s="576"/>
      <c r="B1238" s="576"/>
      <c r="C1238" s="577"/>
      <c r="D1238" s="140"/>
      <c r="E1238" s="578"/>
      <c r="F1238" s="321"/>
      <c r="G1238" s="32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140"/>
      <c r="X1238" s="140"/>
      <c r="Y1238" s="140"/>
      <c r="Z1238" s="140"/>
    </row>
    <row r="1239" spans="1:26" ht="12.75" customHeight="1">
      <c r="A1239" s="576"/>
      <c r="B1239" s="576"/>
      <c r="C1239" s="577"/>
      <c r="D1239" s="140"/>
      <c r="E1239" s="578"/>
      <c r="F1239" s="321"/>
      <c r="G1239" s="32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  <c r="U1239" s="140"/>
      <c r="V1239" s="140"/>
      <c r="W1239" s="140"/>
      <c r="X1239" s="140"/>
      <c r="Y1239" s="140"/>
      <c r="Z1239" s="140"/>
    </row>
  </sheetData>
  <mergeCells count="8">
    <mergeCell ref="A12:G12"/>
    <mergeCell ref="A10:G10"/>
    <mergeCell ref="A1:G5"/>
    <mergeCell ref="A6:G6"/>
    <mergeCell ref="A7:G7"/>
    <mergeCell ref="A8:G8"/>
    <mergeCell ref="A9:C9"/>
    <mergeCell ref="D9:G9"/>
  </mergeCells>
  <pageMargins left="0.7" right="0.7" top="0.75" bottom="0.75" header="0" footer="0"/>
  <pageSetup scale="60" orientation="portrait" r:id="rId1"/>
  <headerFooter>
    <oddFooter>&amp;RPágina &amp;P de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E9" sqref="E9"/>
    </sheetView>
  </sheetViews>
  <sheetFormatPr defaultColWidth="14.42578125" defaultRowHeight="15" customHeight="1"/>
  <cols>
    <col min="1" max="1" width="10.7109375" customWidth="1"/>
    <col min="2" max="2" width="63.140625" customWidth="1"/>
    <col min="3" max="4" width="16.7109375" customWidth="1"/>
    <col min="5" max="6" width="18.7109375" customWidth="1"/>
    <col min="7" max="7" width="14.28515625" customWidth="1"/>
    <col min="8" max="8" width="8" customWidth="1"/>
    <col min="9" max="9" width="13.5703125" customWidth="1"/>
    <col min="10" max="26" width="8" customWidth="1"/>
  </cols>
  <sheetData>
    <row r="1" spans="1:26" ht="24.75" customHeight="1">
      <c r="A1" s="198"/>
      <c r="B1" s="765"/>
      <c r="C1" s="685"/>
      <c r="D1" s="685"/>
      <c r="E1" s="685"/>
      <c r="F1" s="46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24.75" customHeight="1">
      <c r="A2" s="465"/>
      <c r="B2" s="669"/>
      <c r="C2" s="669"/>
      <c r="D2" s="669"/>
      <c r="E2" s="669"/>
      <c r="F2" s="466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15.75" customHeight="1">
      <c r="A3" s="766" t="s">
        <v>636</v>
      </c>
      <c r="B3" s="685"/>
      <c r="C3" s="685"/>
      <c r="D3" s="685"/>
      <c r="E3" s="685"/>
      <c r="F3" s="68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467" t="e">
        <f>Sintetico!$A$7</f>
        <v>#REF!</v>
      </c>
      <c r="B4" s="468"/>
      <c r="C4" s="468"/>
      <c r="D4" s="469"/>
      <c r="E4" s="470"/>
      <c r="F4" s="47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472" t="str">
        <f>Sintetico!$D$9</f>
        <v xml:space="preserve"> </v>
      </c>
      <c r="B5" s="468"/>
      <c r="C5" s="468"/>
      <c r="D5" s="470"/>
      <c r="E5" s="470"/>
      <c r="F5" s="47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467" t="e">
        <f>Sintetico!$A$8</f>
        <v>#REF!</v>
      </c>
      <c r="B6" s="468"/>
      <c r="C6" s="473"/>
      <c r="D6" s="474"/>
      <c r="E6" s="475"/>
      <c r="F6" s="47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477"/>
      <c r="B7" s="478"/>
      <c r="C7" s="479"/>
      <c r="D7" s="479"/>
      <c r="E7" s="479"/>
      <c r="F7" s="48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754" t="s">
        <v>43</v>
      </c>
      <c r="B8" s="751" t="s">
        <v>1</v>
      </c>
      <c r="C8" s="767" t="s">
        <v>642</v>
      </c>
      <c r="D8" s="767" t="s">
        <v>9</v>
      </c>
      <c r="E8" s="229" t="s">
        <v>645</v>
      </c>
      <c r="F8" s="767" t="s">
        <v>646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752"/>
      <c r="B9" s="752"/>
      <c r="C9" s="752"/>
      <c r="D9" s="752"/>
      <c r="E9" s="481"/>
      <c r="F9" s="75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482">
        <v>1</v>
      </c>
      <c r="B10" s="483" t="str">
        <f>Sintetico!B12</f>
        <v xml:space="preserve">ADMINISTRAÇÃO DA OBRA </v>
      </c>
      <c r="C10" s="483">
        <f>Sintetico!G15</f>
        <v>0</v>
      </c>
      <c r="D10" s="484" t="e">
        <f t="shared" ref="D10:D11" si="0">C10/$C$74</f>
        <v>#DIV/0!</v>
      </c>
      <c r="E10" s="485">
        <f t="shared" ref="E10:E11" si="1">C10*$E$9</f>
        <v>0</v>
      </c>
      <c r="F10" s="487">
        <f t="shared" ref="F10:F11" si="2">C10+E10</f>
        <v>0</v>
      </c>
      <c r="G10" s="48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482">
        <v>2</v>
      </c>
      <c r="B11" s="483" t="str">
        <f>Sintetico!B16</f>
        <v>SERVIÇOS PRELIMINARES E SERVIÇOS GERAIS</v>
      </c>
      <c r="C11" s="483">
        <f>Sintetico!G28</f>
        <v>0</v>
      </c>
      <c r="D11" s="484" t="e">
        <f t="shared" si="0"/>
        <v>#DIV/0!</v>
      </c>
      <c r="E11" s="485">
        <f t="shared" si="1"/>
        <v>0</v>
      </c>
      <c r="F11" s="487">
        <f t="shared" si="2"/>
        <v>0</v>
      </c>
      <c r="G11" s="23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489"/>
      <c r="B12" s="490" t="str">
        <f>Sintetico!A32</f>
        <v>IMPLANTAÇÃO</v>
      </c>
      <c r="C12" s="491"/>
      <c r="D12" s="492"/>
      <c r="E12" s="493"/>
      <c r="F12" s="493"/>
      <c r="G12" s="233"/>
      <c r="H12" s="8"/>
      <c r="I12" s="49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482">
        <v>3</v>
      </c>
      <c r="B13" s="483" t="str">
        <f>Sintetico!B33</f>
        <v>ACESSO ENTRE BLOCO ADMINISTRATIVO E SALA DE AULA</v>
      </c>
      <c r="C13" s="483">
        <f>Sintetico!G38</f>
        <v>0</v>
      </c>
      <c r="D13" s="484" t="e">
        <f t="shared" ref="D13:D20" si="3">C13/$C$74</f>
        <v>#DIV/0!</v>
      </c>
      <c r="E13" s="485">
        <f t="shared" ref="E13:E20" si="4">C13*$E$9</f>
        <v>0</v>
      </c>
      <c r="F13" s="487">
        <f t="shared" ref="F13:F20" si="5">C13+E13</f>
        <v>0</v>
      </c>
      <c r="G13" s="23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482">
        <v>4</v>
      </c>
      <c r="B14" s="483" t="str">
        <f>Sintetico!B39</f>
        <v>ACESSO ADMINISTRATIVO PARA AUDITORIO_PÁTIO</v>
      </c>
      <c r="C14" s="483">
        <f>Sintetico!G44</f>
        <v>0</v>
      </c>
      <c r="D14" s="484" t="e">
        <f t="shared" si="3"/>
        <v>#DIV/0!</v>
      </c>
      <c r="E14" s="485">
        <f t="shared" si="4"/>
        <v>0</v>
      </c>
      <c r="F14" s="487">
        <f t="shared" si="5"/>
        <v>0</v>
      </c>
      <c r="G14" s="23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482">
        <v>5</v>
      </c>
      <c r="B15" s="483" t="str">
        <f>Sintetico!B45</f>
        <v xml:space="preserve">ADEQUAÇÃO DE ACESSIBILIDADE DA PARADA DE ONIBUS INSTALADA EM FRENTE AO CAMPUS </v>
      </c>
      <c r="C15" s="483">
        <f>Sintetico!G53</f>
        <v>0</v>
      </c>
      <c r="D15" s="484" t="e">
        <f t="shared" si="3"/>
        <v>#DIV/0!</v>
      </c>
      <c r="E15" s="485">
        <f t="shared" si="4"/>
        <v>0</v>
      </c>
      <c r="F15" s="487">
        <f t="shared" si="5"/>
        <v>0</v>
      </c>
      <c r="G15" s="23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482">
        <v>6</v>
      </c>
      <c r="B16" s="495" t="str">
        <f>Sintetico!B54</f>
        <v xml:space="preserve"> ESTACIONAMENTO SERVIDORES  </v>
      </c>
      <c r="C16" s="483">
        <f>Sintetico!G69</f>
        <v>0</v>
      </c>
      <c r="D16" s="484" t="e">
        <f t="shared" si="3"/>
        <v>#DIV/0!</v>
      </c>
      <c r="E16" s="485">
        <f t="shared" si="4"/>
        <v>0</v>
      </c>
      <c r="F16" s="487">
        <f t="shared" si="5"/>
        <v>0</v>
      </c>
      <c r="G16" s="23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482">
        <v>7</v>
      </c>
      <c r="B17" s="483" t="str">
        <f>Sintetico!B70</f>
        <v xml:space="preserve"> ENTRADA VEÍCULOS</v>
      </c>
      <c r="C17" s="483">
        <f>Sintetico!G73</f>
        <v>0</v>
      </c>
      <c r="D17" s="484" t="e">
        <f t="shared" si="3"/>
        <v>#DIV/0!</v>
      </c>
      <c r="E17" s="485">
        <f t="shared" si="4"/>
        <v>0</v>
      </c>
      <c r="F17" s="487">
        <f t="shared" si="5"/>
        <v>0</v>
      </c>
      <c r="G17" s="23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482">
        <v>8</v>
      </c>
      <c r="B18" s="495" t="str">
        <f>Sintetico!B74</f>
        <v>ROTA ACESSÍVEL GERAL DO CAMPUS</v>
      </c>
      <c r="C18" s="483">
        <f>Sintetico!G96</f>
        <v>0</v>
      </c>
      <c r="D18" s="484" t="e">
        <f t="shared" si="3"/>
        <v>#DIV/0!</v>
      </c>
      <c r="E18" s="485">
        <f t="shared" si="4"/>
        <v>0</v>
      </c>
      <c r="F18" s="487">
        <f t="shared" si="5"/>
        <v>0</v>
      </c>
      <c r="G18" s="23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482">
        <v>9</v>
      </c>
      <c r="B19" s="483" t="str">
        <f>Sintetico!B97</f>
        <v>ESTACIONAMENTO ALUNOS E VISITANTES</v>
      </c>
      <c r="C19" s="483">
        <f>Sintetico!G111</f>
        <v>0</v>
      </c>
      <c r="D19" s="484" t="e">
        <f t="shared" si="3"/>
        <v>#DIV/0!</v>
      </c>
      <c r="E19" s="485">
        <f t="shared" si="4"/>
        <v>0</v>
      </c>
      <c r="F19" s="487">
        <f t="shared" si="5"/>
        <v>0</v>
      </c>
      <c r="G19" s="23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497">
        <v>10</v>
      </c>
      <c r="B20" s="483" t="str">
        <f>Sintetico!B112</f>
        <v>ADEQUAÇÃO EMBARQUE E DESEMBARQUE</v>
      </c>
      <c r="C20" s="483">
        <f>Sintetico!G118</f>
        <v>0</v>
      </c>
      <c r="D20" s="484" t="e">
        <f t="shared" si="3"/>
        <v>#DIV/0!</v>
      </c>
      <c r="E20" s="485">
        <f t="shared" si="4"/>
        <v>0</v>
      </c>
      <c r="F20" s="487">
        <f t="shared" si="5"/>
        <v>0</v>
      </c>
      <c r="G20" s="23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489"/>
      <c r="B21" s="490" t="str">
        <f>Sintetico!A122</f>
        <v>GINÁSIO</v>
      </c>
      <c r="C21" s="491"/>
      <c r="D21" s="492"/>
      <c r="E21" s="493"/>
      <c r="F21" s="493"/>
      <c r="G21" s="23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497">
        <v>12</v>
      </c>
      <c r="B22" s="483" t="str">
        <f>Sintetico!B123</f>
        <v>ADEQUAÇÃO SANITÁRIO MASCULINO - CANTINA</v>
      </c>
      <c r="C22" s="483">
        <f>Sintetico!G142</f>
        <v>0</v>
      </c>
      <c r="D22" s="484" t="e">
        <f t="shared" ref="D22:D28" si="6">C22/$C$74</f>
        <v>#DIV/0!</v>
      </c>
      <c r="E22" s="485">
        <f t="shared" ref="E22:E28" si="7">C22*$E$9</f>
        <v>0</v>
      </c>
      <c r="F22" s="487">
        <f t="shared" ref="F22:F28" si="8">C22+E22</f>
        <v>0</v>
      </c>
      <c r="G22" s="23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497">
        <v>13</v>
      </c>
      <c r="B23" s="483" t="str">
        <f>Sintetico!B143</f>
        <v>ADEQUAÇÃO SANITÁRIO FEMININO - CANTINA</v>
      </c>
      <c r="C23" s="483">
        <f>Sintetico!G160</f>
        <v>0</v>
      </c>
      <c r="D23" s="484" t="e">
        <f t="shared" si="6"/>
        <v>#DIV/0!</v>
      </c>
      <c r="E23" s="485">
        <f t="shared" si="7"/>
        <v>0</v>
      </c>
      <c r="F23" s="487">
        <f t="shared" si="8"/>
        <v>0</v>
      </c>
      <c r="G23" s="23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497">
        <v>14</v>
      </c>
      <c r="B24" s="483" t="str">
        <f>Sintetico!B161</f>
        <v>ADEQUAÇÃO VESTIÁRIO MASCULINO - QUADRA</v>
      </c>
      <c r="C24" s="483">
        <f>Sintetico!G193</f>
        <v>0</v>
      </c>
      <c r="D24" s="484" t="e">
        <f t="shared" si="6"/>
        <v>#DIV/0!</v>
      </c>
      <c r="E24" s="485">
        <f t="shared" si="7"/>
        <v>0</v>
      </c>
      <c r="F24" s="487">
        <f t="shared" si="8"/>
        <v>0</v>
      </c>
      <c r="G24" s="23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497">
        <v>15</v>
      </c>
      <c r="B25" s="483" t="str">
        <f>Sintetico!B194</f>
        <v>ADEQUAÇÃO VESTUÁRIO FEMININO - QUADRA</v>
      </c>
      <c r="C25" s="483">
        <f>Sintetico!G223</f>
        <v>0</v>
      </c>
      <c r="D25" s="484" t="e">
        <f t="shared" si="6"/>
        <v>#DIV/0!</v>
      </c>
      <c r="E25" s="485">
        <f t="shared" si="7"/>
        <v>0</v>
      </c>
      <c r="F25" s="487">
        <f t="shared" si="8"/>
        <v>0</v>
      </c>
      <c r="G25" s="23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497">
        <v>16</v>
      </c>
      <c r="B26" s="483" t="str">
        <f>Sintetico!B224</f>
        <v>ADEQUAÇÃO ARQUIBANCADA GINÁSIO</v>
      </c>
      <c r="C26" s="483">
        <f>Sintetico!G250</f>
        <v>0</v>
      </c>
      <c r="D26" s="484" t="e">
        <f t="shared" si="6"/>
        <v>#DIV/0!</v>
      </c>
      <c r="E26" s="485">
        <f t="shared" si="7"/>
        <v>0</v>
      </c>
      <c r="F26" s="487">
        <f t="shared" si="8"/>
        <v>0</v>
      </c>
      <c r="G26" s="23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497">
        <v>17</v>
      </c>
      <c r="B27" s="483" t="str">
        <f>Sintetico!B251</f>
        <v>ADEQUAÇÃO CANTINA</v>
      </c>
      <c r="C27" s="483">
        <f>Sintetico!G260</f>
        <v>0</v>
      </c>
      <c r="D27" s="484" t="e">
        <f t="shared" si="6"/>
        <v>#DIV/0!</v>
      </c>
      <c r="E27" s="485">
        <f t="shared" si="7"/>
        <v>0</v>
      </c>
      <c r="F27" s="487">
        <f t="shared" si="8"/>
        <v>0</v>
      </c>
      <c r="G27" s="23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497">
        <v>18</v>
      </c>
      <c r="B28" s="483" t="str">
        <f>Sintetico!B261</f>
        <v>ADEQUAÇÕES GERAIS GINÁSIO</v>
      </c>
      <c r="C28" s="483">
        <f>Sintetico!G265</f>
        <v>0</v>
      </c>
      <c r="D28" s="484" t="e">
        <f t="shared" si="6"/>
        <v>#DIV/0!</v>
      </c>
      <c r="E28" s="485">
        <f t="shared" si="7"/>
        <v>0</v>
      </c>
      <c r="F28" s="487">
        <f t="shared" si="8"/>
        <v>0</v>
      </c>
      <c r="G28" s="23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489"/>
      <c r="B29" s="490" t="str">
        <f>Sintetico!A269</f>
        <v>AUDITÓRIO</v>
      </c>
      <c r="C29" s="491"/>
      <c r="D29" s="492"/>
      <c r="E29" s="493"/>
      <c r="F29" s="493"/>
      <c r="G29" s="233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497">
        <v>19</v>
      </c>
      <c r="B30" s="483" t="str">
        <f>Sintetico!B270</f>
        <v>ADEQUAÇÃO SANITÁRIO MASCULINO AUDITÓRIO</v>
      </c>
      <c r="C30" s="483">
        <f>Sintetico!G293</f>
        <v>0</v>
      </c>
      <c r="D30" s="484" t="e">
        <f t="shared" ref="D30:D36" si="9">C30/$C$74</f>
        <v>#DIV/0!</v>
      </c>
      <c r="E30" s="485">
        <f t="shared" ref="E30:E36" si="10">C30*$E$9</f>
        <v>0</v>
      </c>
      <c r="F30" s="487">
        <f t="shared" ref="F30:F36" si="11">C30+E30</f>
        <v>0</v>
      </c>
      <c r="G30" s="23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497">
        <v>20</v>
      </c>
      <c r="B31" s="483" t="str">
        <f>Sintetico!B294</f>
        <v>ADEQUAÇÃO SANITÁRIO FEMININO AUDITÓRIO</v>
      </c>
      <c r="C31" s="483">
        <f>Sintetico!G317</f>
        <v>0</v>
      </c>
      <c r="D31" s="484" t="e">
        <f t="shared" si="9"/>
        <v>#DIV/0!</v>
      </c>
      <c r="E31" s="485">
        <f t="shared" si="10"/>
        <v>0</v>
      </c>
      <c r="F31" s="487">
        <f t="shared" si="11"/>
        <v>0</v>
      </c>
      <c r="G31" s="233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497">
        <v>21</v>
      </c>
      <c r="B32" s="483" t="str">
        <f>Sintetico!B318</f>
        <v>ADEQUAÇÃO SALA DE PROJEÇÃO</v>
      </c>
      <c r="C32" s="483">
        <f>Sintetico!G330</f>
        <v>0</v>
      </c>
      <c r="D32" s="484" t="e">
        <f t="shared" si="9"/>
        <v>#DIV/0!</v>
      </c>
      <c r="E32" s="485">
        <f t="shared" si="10"/>
        <v>0</v>
      </c>
      <c r="F32" s="487">
        <f t="shared" si="11"/>
        <v>0</v>
      </c>
      <c r="G32" s="233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497">
        <v>22</v>
      </c>
      <c r="B33" s="483" t="str">
        <f>Sintetico!B331</f>
        <v>ADEQUAÇÃO ASSENTOS PLATEIA</v>
      </c>
      <c r="C33" s="483">
        <f>Sintetico!G345</f>
        <v>0</v>
      </c>
      <c r="D33" s="484" t="e">
        <f t="shared" si="9"/>
        <v>#DIV/0!</v>
      </c>
      <c r="E33" s="485">
        <f t="shared" si="10"/>
        <v>0</v>
      </c>
      <c r="F33" s="487">
        <f t="shared" si="11"/>
        <v>0</v>
      </c>
      <c r="G33" s="23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497">
        <v>23</v>
      </c>
      <c r="B34" s="483" t="str">
        <f>Sintetico!B346</f>
        <v>ADEQUAÇÃO ESCADA DO PALCO</v>
      </c>
      <c r="C34" s="483">
        <f>Sintetico!G357</f>
        <v>0</v>
      </c>
      <c r="D34" s="484" t="e">
        <f t="shared" si="9"/>
        <v>#DIV/0!</v>
      </c>
      <c r="E34" s="485">
        <f t="shared" si="10"/>
        <v>0</v>
      </c>
      <c r="F34" s="487">
        <f t="shared" si="11"/>
        <v>0</v>
      </c>
      <c r="G34" s="233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497">
        <v>24</v>
      </c>
      <c r="B35" s="483" t="str">
        <f>Sintetico!B358</f>
        <v xml:space="preserve">ADEQUAÇÃO BARRAS ANTI-PANICO </v>
      </c>
      <c r="C35" s="483">
        <f>Sintetico!G363</f>
        <v>0</v>
      </c>
      <c r="D35" s="484" t="e">
        <f t="shared" si="9"/>
        <v>#DIV/0!</v>
      </c>
      <c r="E35" s="485">
        <f t="shared" si="10"/>
        <v>0</v>
      </c>
      <c r="F35" s="487">
        <f t="shared" si="11"/>
        <v>0</v>
      </c>
      <c r="G35" s="23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497">
        <v>25</v>
      </c>
      <c r="B36" s="483" t="str">
        <f>Sintetico!B364</f>
        <v>ADEQUAÇÃO RAMPA EXTERNA AUDITÓRIO</v>
      </c>
      <c r="C36" s="483">
        <f>Sintetico!G401</f>
        <v>0</v>
      </c>
      <c r="D36" s="484" t="e">
        <f t="shared" si="9"/>
        <v>#DIV/0!</v>
      </c>
      <c r="E36" s="485">
        <f t="shared" si="10"/>
        <v>0</v>
      </c>
      <c r="F36" s="487">
        <f t="shared" si="11"/>
        <v>0</v>
      </c>
      <c r="G36" s="23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503"/>
      <c r="B37" s="490" t="str">
        <f>Sintetico!A405</f>
        <v>ADMINISTRATIVO</v>
      </c>
      <c r="C37" s="491"/>
      <c r="D37" s="492"/>
      <c r="E37" s="493"/>
      <c r="F37" s="493"/>
      <c r="G37" s="23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497">
        <v>26</v>
      </c>
      <c r="B38" s="483" t="str">
        <f>Sintetico!B406</f>
        <v>ADEQUAÇÃO SANITARIO MASCULINO TÉRREO ADMINISTRATIVO (SANITÁRIO DE USO PÚBLICO)  DETALHE 01</v>
      </c>
      <c r="C38" s="483">
        <f>Sintetico!G429</f>
        <v>0</v>
      </c>
      <c r="D38" s="484" t="e">
        <f t="shared" ref="D38:D53" si="12">C38/$C$74</f>
        <v>#DIV/0!</v>
      </c>
      <c r="E38" s="485">
        <f t="shared" ref="E38:E53" si="13">C38*$E$9</f>
        <v>0</v>
      </c>
      <c r="F38" s="487">
        <f t="shared" ref="F38:F53" si="14">C38+E38</f>
        <v>0</v>
      </c>
      <c r="G38" s="23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497">
        <v>27</v>
      </c>
      <c r="B39" s="483" t="str">
        <f>Sintetico!B430</f>
        <v>ADEQUAÇÃO ESCADA (ENTRE SANITÁRIOS MASCULINO E FEMININO)</v>
      </c>
      <c r="C39" s="483">
        <f>Sintetico!G443</f>
        <v>0</v>
      </c>
      <c r="D39" s="484" t="e">
        <f t="shared" si="12"/>
        <v>#DIV/0!</v>
      </c>
      <c r="E39" s="485">
        <f t="shared" si="13"/>
        <v>0</v>
      </c>
      <c r="F39" s="487">
        <f t="shared" si="14"/>
        <v>0</v>
      </c>
      <c r="G39" s="233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497">
        <v>28</v>
      </c>
      <c r="B40" s="483" t="str">
        <f>Sintetico!B444</f>
        <v>ADEQUAÇÃO SANITARIO FEMININO TÉRREO ADMINISTRATIVO (SANITÁRIO DE USO PÚBLICO) DETALHE 01</v>
      </c>
      <c r="C40" s="483">
        <f>Sintetico!G463</f>
        <v>0</v>
      </c>
      <c r="D40" s="484" t="e">
        <f t="shared" si="12"/>
        <v>#DIV/0!</v>
      </c>
      <c r="E40" s="485">
        <f t="shared" si="13"/>
        <v>0</v>
      </c>
      <c r="F40" s="487">
        <f t="shared" si="14"/>
        <v>0</v>
      </c>
      <c r="G40" s="23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497">
        <v>29</v>
      </c>
      <c r="B41" s="483" t="str">
        <f>Sintetico!B464</f>
        <v xml:space="preserve">ADEQUAÇÃO ESCADA PRINCIPAL </v>
      </c>
      <c r="C41" s="483">
        <f>Sintetico!G480</f>
        <v>0</v>
      </c>
      <c r="D41" s="484" t="e">
        <f t="shared" si="12"/>
        <v>#DIV/0!</v>
      </c>
      <c r="E41" s="485">
        <f t="shared" si="13"/>
        <v>0</v>
      </c>
      <c r="F41" s="487">
        <f t="shared" si="14"/>
        <v>0</v>
      </c>
      <c r="G41" s="23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497">
        <v>30</v>
      </c>
      <c r="B42" s="483" t="str">
        <f>Sintetico!B481</f>
        <v>ADEQUAÇÃO SAÍDA 03 TÉRREO</v>
      </c>
      <c r="C42" s="483">
        <f>Sintetico!G492</f>
        <v>0</v>
      </c>
      <c r="D42" s="484" t="e">
        <f t="shared" si="12"/>
        <v>#DIV/0!</v>
      </c>
      <c r="E42" s="485">
        <f t="shared" si="13"/>
        <v>0</v>
      </c>
      <c r="F42" s="487">
        <f t="shared" si="14"/>
        <v>0</v>
      </c>
      <c r="G42" s="23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497">
        <v>31</v>
      </c>
      <c r="B43" s="483" t="str">
        <f>Sintetico!B493</f>
        <v xml:space="preserve"> SANITÁRIO MASCULINO SERVIDORES ADMNISTRATIVO TÉRREO - DETALHE 03</v>
      </c>
      <c r="C43" s="483">
        <f>Sintetico!G516</f>
        <v>0</v>
      </c>
      <c r="D43" s="484" t="e">
        <f t="shared" si="12"/>
        <v>#DIV/0!</v>
      </c>
      <c r="E43" s="485">
        <f t="shared" si="13"/>
        <v>0</v>
      </c>
      <c r="F43" s="487">
        <f t="shared" si="14"/>
        <v>0</v>
      </c>
      <c r="G43" s="23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497">
        <v>32</v>
      </c>
      <c r="B44" s="483" t="str">
        <f>Sintetico!B517</f>
        <v>SANITÁRIO FEMININO SERVIDORES - ADMINISTRATIVO TÉRREO DETALHE 03</v>
      </c>
      <c r="C44" s="483">
        <f>Sintetico!G539</f>
        <v>0</v>
      </c>
      <c r="D44" s="484" t="e">
        <f t="shared" si="12"/>
        <v>#DIV/0!</v>
      </c>
      <c r="E44" s="485">
        <f t="shared" si="13"/>
        <v>0</v>
      </c>
      <c r="F44" s="487">
        <f t="shared" si="14"/>
        <v>0</v>
      </c>
      <c r="G44" s="23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497">
        <v>33</v>
      </c>
      <c r="B45" s="483" t="str">
        <f>Sintetico!B540</f>
        <v>ADEQUAÇÃO VESTIÁRIO FEMININO ADMINISTRATIVO - detalhe 04</v>
      </c>
      <c r="C45" s="483">
        <f>Sintetico!G571</f>
        <v>0</v>
      </c>
      <c r="D45" s="484" t="e">
        <f t="shared" si="12"/>
        <v>#DIV/0!</v>
      </c>
      <c r="E45" s="485">
        <f t="shared" si="13"/>
        <v>0</v>
      </c>
      <c r="F45" s="487">
        <f t="shared" si="14"/>
        <v>0</v>
      </c>
      <c r="G45" s="23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497">
        <v>34</v>
      </c>
      <c r="B46" s="483" t="str">
        <f>Sintetico!B572</f>
        <v>ADEQUAÇÃO VESTIÁRIO MASCULINO ADMINISTRATIVO - DETALHE 05</v>
      </c>
      <c r="C46" s="483">
        <f>Sintetico!G606</f>
        <v>0</v>
      </c>
      <c r="D46" s="484" t="e">
        <f t="shared" si="12"/>
        <v>#DIV/0!</v>
      </c>
      <c r="E46" s="485">
        <f t="shared" si="13"/>
        <v>0</v>
      </c>
      <c r="F46" s="487">
        <f t="shared" si="14"/>
        <v>0</v>
      </c>
      <c r="G46" s="23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497">
        <v>35</v>
      </c>
      <c r="B47" s="483" t="str">
        <f>Sintetico!B607</f>
        <v>ADEQUAÇÃO SANITARIO MASCULINO SUPERIOR ADMINISTRATIVO</v>
      </c>
      <c r="C47" s="514">
        <f>Sintetico!G631</f>
        <v>0</v>
      </c>
      <c r="D47" s="484" t="e">
        <f t="shared" si="12"/>
        <v>#DIV/0!</v>
      </c>
      <c r="E47" s="485">
        <f t="shared" si="13"/>
        <v>0</v>
      </c>
      <c r="F47" s="487">
        <f t="shared" si="14"/>
        <v>0</v>
      </c>
      <c r="G47" s="23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497">
        <v>36</v>
      </c>
      <c r="B48" s="483" t="str">
        <f>Sintetico!B632</f>
        <v>ADEQUAÇÃO SANITARIO FEMININO SUPERIOR ADMINISTRATIVO</v>
      </c>
      <c r="C48" s="483">
        <f>Sintetico!G653</f>
        <v>0</v>
      </c>
      <c r="D48" s="484" t="e">
        <f t="shared" si="12"/>
        <v>#DIV/0!</v>
      </c>
      <c r="E48" s="485">
        <f t="shared" si="13"/>
        <v>0</v>
      </c>
      <c r="F48" s="487">
        <f t="shared" si="14"/>
        <v>0</v>
      </c>
      <c r="G48" s="23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497">
        <v>37</v>
      </c>
      <c r="B49" s="483" t="str">
        <f>Sintetico!B654</f>
        <v>SANITÁRIO MASCULINO BIBLIOTECA</v>
      </c>
      <c r="C49" s="483">
        <f>Sintetico!G672</f>
        <v>0</v>
      </c>
      <c r="D49" s="484" t="e">
        <f t="shared" si="12"/>
        <v>#DIV/0!</v>
      </c>
      <c r="E49" s="485">
        <f t="shared" si="13"/>
        <v>0</v>
      </c>
      <c r="F49" s="487">
        <f t="shared" si="14"/>
        <v>0</v>
      </c>
      <c r="G49" s="23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497">
        <v>38</v>
      </c>
      <c r="B50" s="483" t="str">
        <f>Sintetico!B673</f>
        <v>SANITÁRIO FEMININO BIBLIOTECA</v>
      </c>
      <c r="C50" s="483">
        <f>Sintetico!G691</f>
        <v>0</v>
      </c>
      <c r="D50" s="484" t="e">
        <f t="shared" si="12"/>
        <v>#DIV/0!</v>
      </c>
      <c r="E50" s="485">
        <f t="shared" si="13"/>
        <v>0</v>
      </c>
      <c r="F50" s="487">
        <f t="shared" si="14"/>
        <v>0</v>
      </c>
      <c r="G50" s="23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497">
        <v>39</v>
      </c>
      <c r="B51" s="483" t="str">
        <f>Sintetico!B692</f>
        <v>SANITÁRIO FEMININO E MASCULINO EXCLUSIVO BIBLIOTECA</v>
      </c>
      <c r="C51" s="483">
        <f>Sintetico!G711</f>
        <v>0</v>
      </c>
      <c r="D51" s="484" t="e">
        <f t="shared" si="12"/>
        <v>#DIV/0!</v>
      </c>
      <c r="E51" s="485">
        <f t="shared" si="13"/>
        <v>0</v>
      </c>
      <c r="F51" s="487">
        <f t="shared" si="14"/>
        <v>0</v>
      </c>
      <c r="G51" s="23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497">
        <v>40</v>
      </c>
      <c r="B52" s="483" t="str">
        <f>Sintetico!B712</f>
        <v>ADEQUAÇÃO ESCADA EXTERNA ADMINISTRATIVO</v>
      </c>
      <c r="C52" s="483">
        <f>Sintetico!G734</f>
        <v>0</v>
      </c>
      <c r="D52" s="484" t="e">
        <f t="shared" si="12"/>
        <v>#DIV/0!</v>
      </c>
      <c r="E52" s="485">
        <f t="shared" si="13"/>
        <v>0</v>
      </c>
      <c r="F52" s="487">
        <f t="shared" si="14"/>
        <v>0</v>
      </c>
      <c r="G52" s="23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497">
        <v>41</v>
      </c>
      <c r="B53" s="483" t="str">
        <f>Sintetico!B735</f>
        <v>ADEQUAÇÃO SAÍDA 01 TÉRREO</v>
      </c>
      <c r="C53" s="483">
        <f>Sintetico!G746</f>
        <v>0</v>
      </c>
      <c r="D53" s="484" t="e">
        <f t="shared" si="12"/>
        <v>#DIV/0!</v>
      </c>
      <c r="E53" s="485">
        <f t="shared" si="13"/>
        <v>0</v>
      </c>
      <c r="F53" s="487">
        <f t="shared" si="14"/>
        <v>0</v>
      </c>
      <c r="G53" s="23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489"/>
      <c r="B54" s="490" t="str">
        <f>Sintetico!A750</f>
        <v>SALAS DE AULAS</v>
      </c>
      <c r="C54" s="491"/>
      <c r="D54" s="492"/>
      <c r="E54" s="493"/>
      <c r="F54" s="493"/>
      <c r="G54" s="23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497">
        <v>42</v>
      </c>
      <c r="B55" s="483" t="str">
        <f>Sintetico!B751</f>
        <v xml:space="preserve">ADEQUAÇÃO ESCADA EXTERNA EXISTENTE NO BLOCO A </v>
      </c>
      <c r="C55" s="483">
        <f>Sintetico!G766</f>
        <v>0</v>
      </c>
      <c r="D55" s="484" t="e">
        <f t="shared" ref="D55:D73" si="15">C55/$C$74</f>
        <v>#DIV/0!</v>
      </c>
      <c r="E55" s="485">
        <f t="shared" ref="E55:E73" si="16">C55*$E$9</f>
        <v>0</v>
      </c>
      <c r="F55" s="487">
        <f t="shared" ref="F55:F73" si="17">C55+E55</f>
        <v>0</v>
      </c>
      <c r="G55" s="23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497">
        <v>43</v>
      </c>
      <c r="B56" s="483" t="str">
        <f>Sintetico!B767</f>
        <v xml:space="preserve">EXECUÇÃO  DE ESCADA PARA CRIAÇÃO DE  NOVA SAÍDA DE EMERGÊNCIA NO BLOCO A </v>
      </c>
      <c r="C56" s="483">
        <f>Sintetico!G782</f>
        <v>0</v>
      </c>
      <c r="D56" s="484" t="e">
        <f t="shared" si="15"/>
        <v>#DIV/0!</v>
      </c>
      <c r="E56" s="485">
        <f t="shared" si="16"/>
        <v>0</v>
      </c>
      <c r="F56" s="487">
        <f t="shared" si="17"/>
        <v>0</v>
      </c>
      <c r="G56" s="233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497">
        <v>44</v>
      </c>
      <c r="B57" s="483" t="str">
        <f>Sintetico!B784</f>
        <v xml:space="preserve">ADEQUAÇÃO ESCADA EXTERNA BLOCO B </v>
      </c>
      <c r="C57" s="483">
        <f>Sintetico!G800</f>
        <v>0</v>
      </c>
      <c r="D57" s="484" t="e">
        <f t="shared" si="15"/>
        <v>#DIV/0!</v>
      </c>
      <c r="E57" s="485">
        <f t="shared" si="16"/>
        <v>0</v>
      </c>
      <c r="F57" s="487">
        <f t="shared" si="17"/>
        <v>0</v>
      </c>
      <c r="G57" s="23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3.5" customHeight="1">
      <c r="A58" s="497">
        <v>45</v>
      </c>
      <c r="B58" s="483" t="str">
        <f>Sintetico!B801</f>
        <v>EXECUÇÃO  DE ESCADA PARA CRIAÇÃO DE  NOVA SAÍDA DE EMERGÊNCIA NO BLOCO B</v>
      </c>
      <c r="C58" s="483">
        <f>Sintetico!G816</f>
        <v>0</v>
      </c>
      <c r="D58" s="484" t="e">
        <f t="shared" si="15"/>
        <v>#DIV/0!</v>
      </c>
      <c r="E58" s="485">
        <f t="shared" si="16"/>
        <v>0</v>
      </c>
      <c r="F58" s="487">
        <f t="shared" si="17"/>
        <v>0</v>
      </c>
      <c r="G58" s="233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497">
        <v>46</v>
      </c>
      <c r="B59" s="483" t="str">
        <f>Sintetico!B817</f>
        <v xml:space="preserve">ESCADA CENTRAL BLOCO B </v>
      </c>
      <c r="C59" s="483">
        <f>Sintetico!G828</f>
        <v>0</v>
      </c>
      <c r="D59" s="484" t="e">
        <f t="shared" si="15"/>
        <v>#DIV/0!</v>
      </c>
      <c r="E59" s="485">
        <f t="shared" si="16"/>
        <v>0</v>
      </c>
      <c r="F59" s="487">
        <f t="shared" si="17"/>
        <v>0</v>
      </c>
      <c r="G59" s="233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497">
        <v>47</v>
      </c>
      <c r="B60" s="483" t="str">
        <f>Sintetico!B829</f>
        <v xml:space="preserve">ESCADA CENTRAL BLOCO A </v>
      </c>
      <c r="C60" s="483">
        <f>Sintetico!G840</f>
        <v>0</v>
      </c>
      <c r="D60" s="484" t="e">
        <f t="shared" si="15"/>
        <v>#DIV/0!</v>
      </c>
      <c r="E60" s="485">
        <f t="shared" si="16"/>
        <v>0</v>
      </c>
      <c r="F60" s="487">
        <f t="shared" si="17"/>
        <v>0</v>
      </c>
      <c r="G60" s="233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497">
        <v>49</v>
      </c>
      <c r="B61" s="483" t="str">
        <f>Sintetico!B841</f>
        <v>SANITÁRIO FEMININO TÉRREO BLOCO A</v>
      </c>
      <c r="C61" s="483">
        <f>Sintetico!G867</f>
        <v>0</v>
      </c>
      <c r="D61" s="484" t="e">
        <f t="shared" si="15"/>
        <v>#DIV/0!</v>
      </c>
      <c r="E61" s="485">
        <f t="shared" si="16"/>
        <v>0</v>
      </c>
      <c r="F61" s="487">
        <f t="shared" si="17"/>
        <v>0</v>
      </c>
      <c r="G61" s="233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497">
        <v>50</v>
      </c>
      <c r="B62" s="483" t="str">
        <f>Sintetico!B868</f>
        <v>SANITÁRIO MASCULINO TÉRREO BLOCO A</v>
      </c>
      <c r="C62" s="483">
        <f>Sintetico!G895</f>
        <v>0</v>
      </c>
      <c r="D62" s="484" t="e">
        <f t="shared" si="15"/>
        <v>#DIV/0!</v>
      </c>
      <c r="E62" s="485">
        <f t="shared" si="16"/>
        <v>0</v>
      </c>
      <c r="F62" s="487">
        <f t="shared" si="17"/>
        <v>0</v>
      </c>
      <c r="G62" s="233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497">
        <v>51</v>
      </c>
      <c r="B63" s="483" t="str">
        <f>Sintetico!B896</f>
        <v>SANITÁRIO FEMININO TÉRREO BLOCO B</v>
      </c>
      <c r="C63" s="483">
        <f>Sintetico!G917</f>
        <v>0</v>
      </c>
      <c r="D63" s="484" t="e">
        <f t="shared" si="15"/>
        <v>#DIV/0!</v>
      </c>
      <c r="E63" s="485">
        <f t="shared" si="16"/>
        <v>0</v>
      </c>
      <c r="F63" s="487">
        <f t="shared" si="17"/>
        <v>0</v>
      </c>
      <c r="G63" s="23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497">
        <v>52</v>
      </c>
      <c r="B64" s="483" t="str">
        <f>Sintetico!B918</f>
        <v>SANITÁRIO MASCULINO TÉRREO BLOCO B</v>
      </c>
      <c r="C64" s="483">
        <f>Sintetico!G941</f>
        <v>0</v>
      </c>
      <c r="D64" s="484" t="e">
        <f t="shared" si="15"/>
        <v>#DIV/0!</v>
      </c>
      <c r="E64" s="485">
        <f t="shared" si="16"/>
        <v>0</v>
      </c>
      <c r="F64" s="487">
        <f t="shared" si="17"/>
        <v>0</v>
      </c>
      <c r="G64" s="23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497">
        <v>53</v>
      </c>
      <c r="B65" s="483" t="str">
        <f>Sintetico!B942</f>
        <v>SANITÁRIO FEMININO SUPERIOR BLOCO A</v>
      </c>
      <c r="C65" s="483">
        <f>Sintetico!G965</f>
        <v>0</v>
      </c>
      <c r="D65" s="484" t="e">
        <f t="shared" si="15"/>
        <v>#DIV/0!</v>
      </c>
      <c r="E65" s="485">
        <f t="shared" si="16"/>
        <v>0</v>
      </c>
      <c r="F65" s="487">
        <f t="shared" si="17"/>
        <v>0</v>
      </c>
      <c r="G65" s="23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497">
        <v>54</v>
      </c>
      <c r="B66" s="483" t="str">
        <f>Sintetico!B966</f>
        <v>SANITÁRIO MASCULINO SUPERIOR BLOCO A</v>
      </c>
      <c r="C66" s="483">
        <f>Sintetico!G993</f>
        <v>0</v>
      </c>
      <c r="D66" s="484" t="e">
        <f t="shared" si="15"/>
        <v>#DIV/0!</v>
      </c>
      <c r="E66" s="485">
        <f t="shared" si="16"/>
        <v>0</v>
      </c>
      <c r="F66" s="487">
        <f t="shared" si="17"/>
        <v>0</v>
      </c>
      <c r="G66" s="23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497">
        <v>55</v>
      </c>
      <c r="B67" s="483" t="str">
        <f>Sintetico!B994</f>
        <v>SANITÁRIO FEMININO SUPERIOR BLOCO B</v>
      </c>
      <c r="C67" s="483">
        <f>Sintetico!G1012</f>
        <v>0</v>
      </c>
      <c r="D67" s="484" t="e">
        <f t="shared" si="15"/>
        <v>#DIV/0!</v>
      </c>
      <c r="E67" s="485">
        <f t="shared" si="16"/>
        <v>0</v>
      </c>
      <c r="F67" s="487">
        <f t="shared" si="17"/>
        <v>0</v>
      </c>
      <c r="G67" s="23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497">
        <v>56</v>
      </c>
      <c r="B68" s="483" t="str">
        <f>Sintetico!B1013</f>
        <v>SANITÁRIO MASCULINO SUPERIOR BLOCO B</v>
      </c>
      <c r="C68" s="483">
        <f>Sintetico!G1034</f>
        <v>0</v>
      </c>
      <c r="D68" s="484" t="e">
        <f t="shared" si="15"/>
        <v>#DIV/0!</v>
      </c>
      <c r="E68" s="485">
        <f t="shared" si="16"/>
        <v>0</v>
      </c>
      <c r="F68" s="487">
        <f t="shared" si="17"/>
        <v>0</v>
      </c>
      <c r="G68" s="233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497">
        <v>57</v>
      </c>
      <c r="B69" s="483" t="str">
        <f>Sintetico!B1035</f>
        <v>ADEQUAÇÕES TÉRREO BLOCO A</v>
      </c>
      <c r="C69" s="483">
        <f>Sintetico!G1045</f>
        <v>0</v>
      </c>
      <c r="D69" s="484" t="e">
        <f t="shared" si="15"/>
        <v>#DIV/0!</v>
      </c>
      <c r="E69" s="485">
        <f t="shared" si="16"/>
        <v>0</v>
      </c>
      <c r="F69" s="487">
        <f t="shared" si="17"/>
        <v>0</v>
      </c>
      <c r="G69" s="233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497">
        <v>58</v>
      </c>
      <c r="B70" s="483" t="str">
        <f>Sintetico!B1046</f>
        <v>ADEQUAÇÕES TÉRREO BLOCO B</v>
      </c>
      <c r="C70" s="483">
        <f>Sintetico!G1061</f>
        <v>0</v>
      </c>
      <c r="D70" s="484" t="e">
        <f t="shared" si="15"/>
        <v>#DIV/0!</v>
      </c>
      <c r="E70" s="485">
        <f t="shared" si="16"/>
        <v>0</v>
      </c>
      <c r="F70" s="487">
        <f t="shared" si="17"/>
        <v>0</v>
      </c>
      <c r="G70" s="233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497">
        <v>59</v>
      </c>
      <c r="B71" s="483" t="str">
        <f>Sintetico!B1062</f>
        <v>ADEQUAÇÕES SUPERIOR BLOCO A</v>
      </c>
      <c r="C71" s="483">
        <f>Sintetico!G1086</f>
        <v>0</v>
      </c>
      <c r="D71" s="484" t="e">
        <f t="shared" si="15"/>
        <v>#DIV/0!</v>
      </c>
      <c r="E71" s="485">
        <f t="shared" si="16"/>
        <v>0</v>
      </c>
      <c r="F71" s="487">
        <f t="shared" si="17"/>
        <v>0</v>
      </c>
      <c r="G71" s="233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497">
        <v>60</v>
      </c>
      <c r="B72" s="483" t="str">
        <f>Sintetico!B1087</f>
        <v>ADEQUAÇÕES SUPERIOR BLOCO B</v>
      </c>
      <c r="C72" s="483">
        <f>Sintetico!G1112</f>
        <v>0</v>
      </c>
      <c r="D72" s="484" t="e">
        <f t="shared" si="15"/>
        <v>#DIV/0!</v>
      </c>
      <c r="E72" s="485">
        <f t="shared" si="16"/>
        <v>0</v>
      </c>
      <c r="F72" s="487">
        <f t="shared" si="17"/>
        <v>0</v>
      </c>
      <c r="G72" s="233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497">
        <v>61</v>
      </c>
      <c r="B73" s="483" t="str">
        <f>Sintetico!B1113</f>
        <v>ADEQUAÇÕES RAMPA CENTRAL</v>
      </c>
      <c r="C73" s="483">
        <f>Sintetico!G1121</f>
        <v>0</v>
      </c>
      <c r="D73" s="484" t="e">
        <f t="shared" si="15"/>
        <v>#DIV/0!</v>
      </c>
      <c r="E73" s="485">
        <f t="shared" si="16"/>
        <v>0</v>
      </c>
      <c r="F73" s="487">
        <f t="shared" si="17"/>
        <v>0</v>
      </c>
      <c r="G73" s="23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530"/>
      <c r="B74" s="531" t="s">
        <v>694</v>
      </c>
      <c r="C74" s="532">
        <f t="shared" ref="C74:F74" si="18">SUM(C10:C73)</f>
        <v>0</v>
      </c>
      <c r="D74" s="533" t="e">
        <f t="shared" si="18"/>
        <v>#DIV/0!</v>
      </c>
      <c r="E74" s="532">
        <f t="shared" si="18"/>
        <v>0</v>
      </c>
      <c r="F74" s="532">
        <f t="shared" si="18"/>
        <v>0</v>
      </c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</row>
    <row r="75" spans="1:26" ht="12.75" customHeight="1">
      <c r="A75" s="533">
        <f>E9</f>
        <v>0</v>
      </c>
      <c r="B75" s="531" t="s">
        <v>695</v>
      </c>
      <c r="C75" s="532">
        <f>C74*$E$9</f>
        <v>0</v>
      </c>
      <c r="D75" s="535"/>
      <c r="E75" s="532"/>
      <c r="F75" s="532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</row>
    <row r="76" spans="1:26" ht="12.75" customHeight="1">
      <c r="A76" s="530"/>
      <c r="B76" s="531" t="s">
        <v>698</v>
      </c>
      <c r="C76" s="532">
        <f>SUM(C74:C75)</f>
        <v>0</v>
      </c>
      <c r="D76" s="535"/>
      <c r="E76" s="532"/>
      <c r="F76" s="532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</row>
    <row r="77" spans="1:26" ht="11.25" customHeight="1">
      <c r="A77" s="536"/>
      <c r="B77" s="537"/>
      <c r="C77" s="538"/>
      <c r="D77" s="538"/>
      <c r="E77" s="539"/>
      <c r="F77" s="540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spans="1:26" ht="11.25" customHeight="1">
      <c r="A78" s="541"/>
      <c r="B78" s="543"/>
      <c r="C78" s="544"/>
      <c r="D78" s="545"/>
      <c r="E78" s="544"/>
      <c r="F78" s="546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 ht="12" customHeight="1">
      <c r="A79" s="205"/>
      <c r="B79" s="339" t="s">
        <v>701</v>
      </c>
      <c r="C79" s="339"/>
      <c r="D79" s="339"/>
      <c r="E79" s="339"/>
      <c r="F79" s="547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spans="1:26" ht="12.75" customHeight="1">
      <c r="A80" s="205"/>
      <c r="B80" s="340"/>
      <c r="C80" s="45"/>
      <c r="D80" s="45"/>
      <c r="E80" s="45"/>
      <c r="F80" s="548"/>
      <c r="G80" s="45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spans="1:26" ht="12.75" customHeight="1">
      <c r="A81" s="205"/>
      <c r="B81" s="340"/>
      <c r="C81" s="45"/>
      <c r="D81" s="45"/>
      <c r="E81" s="45"/>
      <c r="F81" s="548"/>
      <c r="G81" s="45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spans="1:26" ht="12.75" customHeight="1">
      <c r="A82" s="549"/>
      <c r="B82" s="550"/>
      <c r="C82" s="552"/>
      <c r="D82" s="552"/>
      <c r="E82" s="552"/>
      <c r="F82" s="553"/>
      <c r="G82" s="45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spans="1:26" ht="11.25" customHeight="1">
      <c r="A83" s="337"/>
      <c r="B83" s="204"/>
      <c r="C83" s="554"/>
      <c r="D83" s="554"/>
      <c r="E83" s="207"/>
      <c r="F83" s="555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spans="1:26" ht="11.25" customHeight="1">
      <c r="A84" s="337"/>
      <c r="B84" s="204"/>
      <c r="C84" s="554"/>
      <c r="D84" s="554"/>
      <c r="E84" s="207"/>
      <c r="F84" s="555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spans="1:26" ht="11.25" customHeight="1">
      <c r="A85" s="337"/>
      <c r="B85" s="204"/>
      <c r="C85" s="554"/>
      <c r="D85" s="554"/>
      <c r="E85" s="207"/>
      <c r="F85" s="555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spans="1:26" ht="11.25" customHeight="1">
      <c r="A86" s="337"/>
      <c r="B86" s="204"/>
      <c r="C86" s="554"/>
      <c r="D86" s="554"/>
      <c r="E86" s="207"/>
      <c r="F86" s="555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spans="1:26" ht="11.25" customHeight="1">
      <c r="A87" s="337"/>
      <c r="B87" s="204"/>
      <c r="C87" s="554"/>
      <c r="D87" s="554"/>
      <c r="E87" s="207"/>
      <c r="F87" s="555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spans="1:26" ht="11.25" customHeight="1">
      <c r="A88" s="337"/>
      <c r="B88" s="204"/>
      <c r="C88" s="554"/>
      <c r="D88" s="554"/>
      <c r="E88" s="207"/>
      <c r="F88" s="555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spans="1:26" ht="11.25" customHeight="1">
      <c r="A89" s="337"/>
      <c r="B89" s="204"/>
      <c r="C89" s="554"/>
      <c r="D89" s="554"/>
      <c r="E89" s="207"/>
      <c r="F89" s="555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spans="1:26" ht="11.25" customHeight="1">
      <c r="A90" s="337"/>
      <c r="B90" s="204"/>
      <c r="C90" s="554"/>
      <c r="D90" s="554"/>
      <c r="E90" s="207"/>
      <c r="F90" s="555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spans="1:26" ht="11.25" customHeight="1">
      <c r="A91" s="337"/>
      <c r="B91" s="204"/>
      <c r="C91" s="554"/>
      <c r="D91" s="554"/>
      <c r="E91" s="207"/>
      <c r="F91" s="555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spans="1:26" ht="11.25" customHeight="1">
      <c r="A92" s="337"/>
      <c r="B92" s="204"/>
      <c r="C92" s="554"/>
      <c r="D92" s="554"/>
      <c r="E92" s="207"/>
      <c r="F92" s="555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spans="1:26" ht="11.25" customHeight="1">
      <c r="A93" s="337"/>
      <c r="B93" s="204"/>
      <c r="C93" s="554"/>
      <c r="D93" s="554"/>
      <c r="E93" s="207"/>
      <c r="F93" s="555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spans="1:26" ht="11.25" customHeight="1">
      <c r="A94" s="337"/>
      <c r="B94" s="204"/>
      <c r="C94" s="554"/>
      <c r="D94" s="554"/>
      <c r="E94" s="207"/>
      <c r="F94" s="555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spans="1:26" ht="11.25" customHeight="1">
      <c r="A95" s="337"/>
      <c r="B95" s="204"/>
      <c r="C95" s="554"/>
      <c r="D95" s="554"/>
      <c r="E95" s="207"/>
      <c r="F95" s="555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spans="1:26" ht="11.25" customHeight="1">
      <c r="A96" s="337"/>
      <c r="B96" s="204"/>
      <c r="C96" s="554"/>
      <c r="D96" s="554"/>
      <c r="E96" s="207"/>
      <c r="F96" s="555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spans="1:26" ht="11.25" customHeight="1">
      <c r="A97" s="337"/>
      <c r="B97" s="204"/>
      <c r="C97" s="554"/>
      <c r="D97" s="554"/>
      <c r="E97" s="207"/>
      <c r="F97" s="555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spans="1:26" ht="11.25" customHeight="1">
      <c r="A98" s="337"/>
      <c r="B98" s="204"/>
      <c r="C98" s="554"/>
      <c r="D98" s="554"/>
      <c r="E98" s="207"/>
      <c r="F98" s="555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spans="1:26" ht="11.25" customHeight="1">
      <c r="A99" s="337"/>
      <c r="B99" s="204"/>
      <c r="C99" s="554"/>
      <c r="D99" s="554"/>
      <c r="E99" s="207"/>
      <c r="F99" s="555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spans="1:26" ht="11.25" customHeight="1">
      <c r="A100" s="337"/>
      <c r="B100" s="204"/>
      <c r="C100" s="554"/>
      <c r="D100" s="554"/>
      <c r="E100" s="207"/>
      <c r="F100" s="555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spans="1:26" ht="11.25" customHeight="1">
      <c r="A101" s="337"/>
      <c r="B101" s="204"/>
      <c r="C101" s="554"/>
      <c r="D101" s="554"/>
      <c r="E101" s="207"/>
      <c r="F101" s="555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spans="1:26" ht="11.25" customHeight="1">
      <c r="A102" s="337"/>
      <c r="B102" s="204"/>
      <c r="C102" s="554"/>
      <c r="D102" s="554"/>
      <c r="E102" s="207"/>
      <c r="F102" s="555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spans="1:26" ht="11.25" customHeight="1">
      <c r="A103" s="337"/>
      <c r="B103" s="204"/>
      <c r="C103" s="554"/>
      <c r="D103" s="554"/>
      <c r="E103" s="207"/>
      <c r="F103" s="555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spans="1:26" ht="11.25" customHeight="1">
      <c r="A104" s="337"/>
      <c r="B104" s="204"/>
      <c r="C104" s="554"/>
      <c r="D104" s="554"/>
      <c r="E104" s="207"/>
      <c r="F104" s="555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spans="1:26" ht="11.25" customHeight="1">
      <c r="A105" s="337"/>
      <c r="B105" s="204"/>
      <c r="C105" s="554"/>
      <c r="D105" s="554"/>
      <c r="E105" s="207"/>
      <c r="F105" s="555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spans="1:26" ht="11.25" customHeight="1">
      <c r="A106" s="337"/>
      <c r="B106" s="204"/>
      <c r="C106" s="554"/>
      <c r="D106" s="554"/>
      <c r="E106" s="207"/>
      <c r="F106" s="555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spans="1:26" ht="11.25" customHeight="1">
      <c r="A107" s="337"/>
      <c r="B107" s="204"/>
      <c r="C107" s="554"/>
      <c r="D107" s="554"/>
      <c r="E107" s="207"/>
      <c r="F107" s="555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spans="1:26" ht="11.25" customHeight="1">
      <c r="A108" s="337"/>
      <c r="B108" s="204"/>
      <c r="C108" s="554"/>
      <c r="D108" s="554"/>
      <c r="E108" s="207"/>
      <c r="F108" s="555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spans="1:26" ht="11.25" customHeight="1">
      <c r="A109" s="337"/>
      <c r="B109" s="204"/>
      <c r="C109" s="554"/>
      <c r="D109" s="554"/>
      <c r="E109" s="207"/>
      <c r="F109" s="555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spans="1:26" ht="11.25" customHeight="1">
      <c r="A110" s="337"/>
      <c r="B110" s="204"/>
      <c r="C110" s="554"/>
      <c r="D110" s="554"/>
      <c r="E110" s="207"/>
      <c r="F110" s="555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spans="1:26" ht="11.25" customHeight="1">
      <c r="A111" s="337"/>
      <c r="B111" s="204"/>
      <c r="C111" s="554"/>
      <c r="D111" s="554"/>
      <c r="E111" s="207"/>
      <c r="F111" s="555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spans="1:26" ht="11.25" customHeight="1">
      <c r="A112" s="337"/>
      <c r="B112" s="204"/>
      <c r="C112" s="554"/>
      <c r="D112" s="554"/>
      <c r="E112" s="207"/>
      <c r="F112" s="555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spans="1:26" ht="11.25" customHeight="1">
      <c r="A113" s="337"/>
      <c r="B113" s="204"/>
      <c r="C113" s="554"/>
      <c r="D113" s="554"/>
      <c r="E113" s="207"/>
      <c r="F113" s="555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spans="1:26" ht="11.25" customHeight="1">
      <c r="A114" s="337"/>
      <c r="B114" s="204"/>
      <c r="C114" s="554"/>
      <c r="D114" s="554"/>
      <c r="E114" s="207"/>
      <c r="F114" s="555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 ht="11.25" customHeight="1">
      <c r="A115" s="337"/>
      <c r="B115" s="204"/>
      <c r="C115" s="554"/>
      <c r="D115" s="554"/>
      <c r="E115" s="207"/>
      <c r="F115" s="555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spans="1:26" ht="11.25" customHeight="1">
      <c r="A116" s="337"/>
      <c r="B116" s="204"/>
      <c r="C116" s="554"/>
      <c r="D116" s="554"/>
      <c r="E116" s="207"/>
      <c r="F116" s="555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spans="1:26" ht="11.25" customHeight="1">
      <c r="A117" s="337"/>
      <c r="B117" s="204"/>
      <c r="C117" s="554"/>
      <c r="D117" s="554"/>
      <c r="E117" s="207"/>
      <c r="F117" s="555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spans="1:26" ht="11.25" customHeight="1">
      <c r="A118" s="337"/>
      <c r="B118" s="204"/>
      <c r="C118" s="554"/>
      <c r="D118" s="554"/>
      <c r="E118" s="207"/>
      <c r="F118" s="555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spans="1:26" ht="11.25" customHeight="1">
      <c r="A119" s="337"/>
      <c r="B119" s="204"/>
      <c r="C119" s="554"/>
      <c r="D119" s="554"/>
      <c r="E119" s="207"/>
      <c r="F119" s="555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spans="1:26" ht="11.25" customHeight="1">
      <c r="A120" s="337"/>
      <c r="B120" s="204"/>
      <c r="C120" s="554"/>
      <c r="D120" s="554"/>
      <c r="E120" s="207"/>
      <c r="F120" s="555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spans="1:26" ht="11.25" customHeight="1">
      <c r="A121" s="337"/>
      <c r="B121" s="204"/>
      <c r="C121" s="554"/>
      <c r="D121" s="554"/>
      <c r="E121" s="207"/>
      <c r="F121" s="555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spans="1:26" ht="11.25" customHeight="1">
      <c r="A122" s="337"/>
      <c r="B122" s="204"/>
      <c r="C122" s="554"/>
      <c r="D122" s="554"/>
      <c r="E122" s="207"/>
      <c r="F122" s="555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 ht="11.25" customHeight="1">
      <c r="A123" s="337"/>
      <c r="B123" s="204"/>
      <c r="C123" s="554"/>
      <c r="D123" s="554"/>
      <c r="E123" s="207"/>
      <c r="F123" s="555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spans="1:26" ht="11.25" customHeight="1">
      <c r="A124" s="337"/>
      <c r="B124" s="204"/>
      <c r="C124" s="554"/>
      <c r="D124" s="554"/>
      <c r="E124" s="207"/>
      <c r="F124" s="555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spans="1:26" ht="11.25" customHeight="1">
      <c r="A125" s="337"/>
      <c r="B125" s="204"/>
      <c r="C125" s="554"/>
      <c r="D125" s="554"/>
      <c r="E125" s="207"/>
      <c r="F125" s="555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spans="1:26" ht="11.25" customHeight="1">
      <c r="A126" s="337"/>
      <c r="B126" s="204"/>
      <c r="C126" s="554"/>
      <c r="D126" s="554"/>
      <c r="E126" s="207"/>
      <c r="F126" s="555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spans="1:26" ht="11.25" customHeight="1">
      <c r="A127" s="337"/>
      <c r="B127" s="204"/>
      <c r="C127" s="554"/>
      <c r="D127" s="554"/>
      <c r="E127" s="207"/>
      <c r="F127" s="555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spans="1:26" ht="11.25" customHeight="1">
      <c r="A128" s="337"/>
      <c r="B128" s="204"/>
      <c r="C128" s="554"/>
      <c r="D128" s="554"/>
      <c r="E128" s="207"/>
      <c r="F128" s="555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 ht="11.25" customHeight="1">
      <c r="A129" s="337"/>
      <c r="B129" s="204"/>
      <c r="C129" s="554"/>
      <c r="D129" s="554"/>
      <c r="E129" s="207"/>
      <c r="F129" s="555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spans="1:26" ht="11.25" customHeight="1">
      <c r="A130" s="337"/>
      <c r="B130" s="204"/>
      <c r="C130" s="554"/>
      <c r="D130" s="554"/>
      <c r="E130" s="207"/>
      <c r="F130" s="555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spans="1:26" ht="11.25" customHeight="1">
      <c r="A131" s="337"/>
      <c r="B131" s="204"/>
      <c r="C131" s="554"/>
      <c r="D131" s="554"/>
      <c r="E131" s="207"/>
      <c r="F131" s="555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spans="1:26" ht="11.25" customHeight="1">
      <c r="A132" s="337"/>
      <c r="B132" s="204"/>
      <c r="C132" s="554"/>
      <c r="D132" s="554"/>
      <c r="E132" s="207"/>
      <c r="F132" s="555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spans="1:26" ht="11.25" customHeight="1">
      <c r="A133" s="337"/>
      <c r="B133" s="204"/>
      <c r="C133" s="554"/>
      <c r="D133" s="554"/>
      <c r="E133" s="207"/>
      <c r="F133" s="555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spans="1:26" ht="11.25" customHeight="1">
      <c r="A134" s="337"/>
      <c r="B134" s="204"/>
      <c r="C134" s="554"/>
      <c r="D134" s="554"/>
      <c r="E134" s="207"/>
      <c r="F134" s="555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spans="1:26" ht="11.25" customHeight="1">
      <c r="A135" s="337"/>
      <c r="B135" s="204"/>
      <c r="C135" s="554"/>
      <c r="D135" s="554"/>
      <c r="E135" s="207"/>
      <c r="F135" s="555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spans="1:26" ht="11.25" customHeight="1">
      <c r="A136" s="337"/>
      <c r="B136" s="204"/>
      <c r="C136" s="554"/>
      <c r="D136" s="554"/>
      <c r="E136" s="207"/>
      <c r="F136" s="555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 ht="11.25" customHeight="1">
      <c r="A137" s="337"/>
      <c r="B137" s="204"/>
      <c r="C137" s="554"/>
      <c r="D137" s="554"/>
      <c r="E137" s="207"/>
      <c r="F137" s="555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spans="1:26" ht="11.25" customHeight="1">
      <c r="A138" s="337"/>
      <c r="B138" s="204"/>
      <c r="C138" s="554"/>
      <c r="D138" s="554"/>
      <c r="E138" s="207"/>
      <c r="F138" s="555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spans="1:26" ht="11.25" customHeight="1">
      <c r="A139" s="337"/>
      <c r="B139" s="204"/>
      <c r="C139" s="554"/>
      <c r="D139" s="554"/>
      <c r="E139" s="207"/>
      <c r="F139" s="555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spans="1:26" ht="11.25" customHeight="1">
      <c r="A140" s="337"/>
      <c r="B140" s="204"/>
      <c r="C140" s="554"/>
      <c r="D140" s="554"/>
      <c r="E140" s="207"/>
      <c r="F140" s="555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spans="1:26" ht="11.25" customHeight="1">
      <c r="A141" s="337"/>
      <c r="B141" s="204"/>
      <c r="C141" s="554"/>
      <c r="D141" s="554"/>
      <c r="E141" s="207"/>
      <c r="F141" s="555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spans="1:26" ht="11.25" customHeight="1">
      <c r="A142" s="337"/>
      <c r="B142" s="204"/>
      <c r="C142" s="554"/>
      <c r="D142" s="554"/>
      <c r="E142" s="207"/>
      <c r="F142" s="555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spans="1:26" ht="11.25" customHeight="1">
      <c r="A143" s="337"/>
      <c r="B143" s="204"/>
      <c r="C143" s="554"/>
      <c r="D143" s="554"/>
      <c r="E143" s="207"/>
      <c r="F143" s="555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ht="11.25" customHeight="1">
      <c r="A144" s="337"/>
      <c r="B144" s="204"/>
      <c r="C144" s="554"/>
      <c r="D144" s="554"/>
      <c r="E144" s="207"/>
      <c r="F144" s="555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spans="1:26" ht="11.25" customHeight="1">
      <c r="A145" s="337"/>
      <c r="B145" s="204"/>
      <c r="C145" s="554"/>
      <c r="D145" s="554"/>
      <c r="E145" s="207"/>
      <c r="F145" s="555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spans="1:26" ht="11.25" customHeight="1">
      <c r="A146" s="337"/>
      <c r="B146" s="204"/>
      <c r="C146" s="554"/>
      <c r="D146" s="554"/>
      <c r="E146" s="207"/>
      <c r="F146" s="555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6" ht="11.25" customHeight="1">
      <c r="A147" s="337"/>
      <c r="B147" s="204"/>
      <c r="C147" s="554"/>
      <c r="D147" s="554"/>
      <c r="E147" s="207"/>
      <c r="F147" s="555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6" ht="11.25" customHeight="1">
      <c r="A148" s="337"/>
      <c r="B148" s="204"/>
      <c r="C148" s="554"/>
      <c r="D148" s="554"/>
      <c r="E148" s="207"/>
      <c r="F148" s="555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6" ht="11.25" customHeight="1">
      <c r="A149" s="337"/>
      <c r="B149" s="204"/>
      <c r="C149" s="554"/>
      <c r="D149" s="554"/>
      <c r="E149" s="207"/>
      <c r="F149" s="555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6" ht="11.25" customHeight="1">
      <c r="A150" s="337"/>
      <c r="B150" s="204"/>
      <c r="C150" s="554"/>
      <c r="D150" s="554"/>
      <c r="E150" s="207"/>
      <c r="F150" s="555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ht="11.25" customHeight="1">
      <c r="A151" s="337"/>
      <c r="B151" s="204"/>
      <c r="C151" s="554"/>
      <c r="D151" s="554"/>
      <c r="E151" s="207"/>
      <c r="F151" s="555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spans="1:26" ht="11.25" customHeight="1">
      <c r="A152" s="337"/>
      <c r="B152" s="204"/>
      <c r="C152" s="554"/>
      <c r="D152" s="554"/>
      <c r="E152" s="207"/>
      <c r="F152" s="555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spans="1:26" ht="11.25" customHeight="1">
      <c r="A153" s="337"/>
      <c r="B153" s="204"/>
      <c r="C153" s="554"/>
      <c r="D153" s="554"/>
      <c r="E153" s="207"/>
      <c r="F153" s="555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spans="1:26" ht="11.25" customHeight="1">
      <c r="A154" s="337"/>
      <c r="B154" s="204"/>
      <c r="C154" s="554"/>
      <c r="D154" s="554"/>
      <c r="E154" s="207"/>
      <c r="F154" s="555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spans="1:26" ht="11.25" customHeight="1">
      <c r="A155" s="337"/>
      <c r="B155" s="204"/>
      <c r="C155" s="554"/>
      <c r="D155" s="554"/>
      <c r="E155" s="207"/>
      <c r="F155" s="555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spans="1:26" ht="11.25" customHeight="1">
      <c r="A156" s="337"/>
      <c r="B156" s="204"/>
      <c r="C156" s="554"/>
      <c r="D156" s="554"/>
      <c r="E156" s="207"/>
      <c r="F156" s="555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spans="1:26" ht="11.25" customHeight="1">
      <c r="A157" s="337"/>
      <c r="B157" s="204"/>
      <c r="C157" s="554"/>
      <c r="D157" s="554"/>
      <c r="E157" s="207"/>
      <c r="F157" s="555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spans="1:26" ht="11.25" customHeight="1">
      <c r="A158" s="337"/>
      <c r="B158" s="204"/>
      <c r="C158" s="554"/>
      <c r="D158" s="554"/>
      <c r="E158" s="207"/>
      <c r="F158" s="555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spans="1:26" ht="11.25" customHeight="1">
      <c r="A159" s="337"/>
      <c r="B159" s="204"/>
      <c r="C159" s="554"/>
      <c r="D159" s="554"/>
      <c r="E159" s="207"/>
      <c r="F159" s="555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spans="1:26" ht="11.25" customHeight="1">
      <c r="A160" s="337"/>
      <c r="B160" s="204"/>
      <c r="C160" s="554"/>
      <c r="D160" s="554"/>
      <c r="E160" s="207"/>
      <c r="F160" s="555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spans="1:26" ht="11.25" customHeight="1">
      <c r="A161" s="337"/>
      <c r="B161" s="204"/>
      <c r="C161" s="554"/>
      <c r="D161" s="554"/>
      <c r="E161" s="207"/>
      <c r="F161" s="555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spans="1:26" ht="11.25" customHeight="1">
      <c r="A162" s="337"/>
      <c r="B162" s="204"/>
      <c r="C162" s="554"/>
      <c r="D162" s="554"/>
      <c r="E162" s="207"/>
      <c r="F162" s="555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spans="1:26" ht="11.25" customHeight="1">
      <c r="A163" s="337"/>
      <c r="B163" s="204"/>
      <c r="C163" s="554"/>
      <c r="D163" s="554"/>
      <c r="E163" s="207"/>
      <c r="F163" s="555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spans="1:26" ht="11.25" customHeight="1">
      <c r="A164" s="337"/>
      <c r="B164" s="204"/>
      <c r="C164" s="554"/>
      <c r="D164" s="554"/>
      <c r="E164" s="207"/>
      <c r="F164" s="555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spans="1:26" ht="11.25" customHeight="1">
      <c r="A165" s="337"/>
      <c r="B165" s="204"/>
      <c r="C165" s="554"/>
      <c r="D165" s="554"/>
      <c r="E165" s="207"/>
      <c r="F165" s="555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 ht="11.25" customHeight="1">
      <c r="A166" s="337"/>
      <c r="B166" s="204"/>
      <c r="C166" s="554"/>
      <c r="D166" s="554"/>
      <c r="E166" s="207"/>
      <c r="F166" s="555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spans="1:26" ht="11.25" customHeight="1">
      <c r="A167" s="337"/>
      <c r="B167" s="204"/>
      <c r="C167" s="554"/>
      <c r="D167" s="554"/>
      <c r="E167" s="207"/>
      <c r="F167" s="555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spans="1:26" ht="11.25" customHeight="1">
      <c r="A168" s="337"/>
      <c r="B168" s="204"/>
      <c r="C168" s="554"/>
      <c r="D168" s="554"/>
      <c r="E168" s="207"/>
      <c r="F168" s="555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spans="1:26" ht="11.25" customHeight="1">
      <c r="A169" s="337"/>
      <c r="B169" s="204"/>
      <c r="C169" s="554"/>
      <c r="D169" s="554"/>
      <c r="E169" s="207"/>
      <c r="F169" s="555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spans="1:26" ht="11.25" customHeight="1">
      <c r="A170" s="337"/>
      <c r="B170" s="204"/>
      <c r="C170" s="554"/>
      <c r="D170" s="554"/>
      <c r="E170" s="207"/>
      <c r="F170" s="555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spans="1:26" ht="11.25" customHeight="1">
      <c r="A171" s="337"/>
      <c r="B171" s="204"/>
      <c r="C171" s="554"/>
      <c r="D171" s="554"/>
      <c r="E171" s="207"/>
      <c r="F171" s="555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 ht="11.25" customHeight="1">
      <c r="A172" s="337"/>
      <c r="B172" s="204"/>
      <c r="C172" s="554"/>
      <c r="D172" s="554"/>
      <c r="E172" s="207"/>
      <c r="F172" s="555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spans="1:26" ht="11.25" customHeight="1">
      <c r="A173" s="337"/>
      <c r="B173" s="204"/>
      <c r="C173" s="554"/>
      <c r="D173" s="554"/>
      <c r="E173" s="207"/>
      <c r="F173" s="555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spans="1:26" ht="11.25" customHeight="1">
      <c r="A174" s="337"/>
      <c r="B174" s="204"/>
      <c r="C174" s="554"/>
      <c r="D174" s="554"/>
      <c r="E174" s="207"/>
      <c r="F174" s="555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spans="1:26" ht="11.25" customHeight="1">
      <c r="A175" s="337"/>
      <c r="B175" s="204"/>
      <c r="C175" s="554"/>
      <c r="D175" s="554"/>
      <c r="E175" s="207"/>
      <c r="F175" s="555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spans="1:26" ht="11.25" customHeight="1">
      <c r="A176" s="337"/>
      <c r="B176" s="204"/>
      <c r="C176" s="554"/>
      <c r="D176" s="554"/>
      <c r="E176" s="207"/>
      <c r="F176" s="555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spans="1:26" ht="11.25" customHeight="1">
      <c r="A177" s="337"/>
      <c r="B177" s="204"/>
      <c r="C177" s="554"/>
      <c r="D177" s="554"/>
      <c r="E177" s="207"/>
      <c r="F177" s="555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spans="1:26" ht="11.25" customHeight="1">
      <c r="A178" s="337"/>
      <c r="B178" s="204"/>
      <c r="C178" s="554"/>
      <c r="D178" s="554"/>
      <c r="E178" s="207"/>
      <c r="F178" s="555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spans="1:26" ht="11.25" customHeight="1">
      <c r="A179" s="337"/>
      <c r="B179" s="204"/>
      <c r="C179" s="554"/>
      <c r="D179" s="554"/>
      <c r="E179" s="207"/>
      <c r="F179" s="555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spans="1:26" ht="11.25" customHeight="1">
      <c r="A180" s="337"/>
      <c r="B180" s="204"/>
      <c r="C180" s="554"/>
      <c r="D180" s="554"/>
      <c r="E180" s="207"/>
      <c r="F180" s="555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spans="1:26" ht="11.25" customHeight="1">
      <c r="A181" s="337"/>
      <c r="B181" s="204"/>
      <c r="C181" s="554"/>
      <c r="D181" s="554"/>
      <c r="E181" s="207"/>
      <c r="F181" s="555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spans="1:26" ht="11.25" customHeight="1">
      <c r="A182" s="337"/>
      <c r="B182" s="204"/>
      <c r="C182" s="554"/>
      <c r="D182" s="554"/>
      <c r="E182" s="207"/>
      <c r="F182" s="555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spans="1:26" ht="11.25" customHeight="1">
      <c r="A183" s="337"/>
      <c r="B183" s="204"/>
      <c r="C183" s="554"/>
      <c r="D183" s="554"/>
      <c r="E183" s="207"/>
      <c r="F183" s="555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spans="1:26" ht="11.25" customHeight="1">
      <c r="A184" s="337"/>
      <c r="B184" s="204"/>
      <c r="C184" s="554"/>
      <c r="D184" s="554"/>
      <c r="E184" s="207"/>
      <c r="F184" s="555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spans="1:26" ht="11.25" customHeight="1">
      <c r="A185" s="337"/>
      <c r="B185" s="204"/>
      <c r="C185" s="554"/>
      <c r="D185" s="554"/>
      <c r="E185" s="207"/>
      <c r="F185" s="555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spans="1:26" ht="11.25" customHeight="1">
      <c r="A186" s="337"/>
      <c r="B186" s="204"/>
      <c r="C186" s="554"/>
      <c r="D186" s="554"/>
      <c r="E186" s="207"/>
      <c r="F186" s="555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spans="1:26" ht="11.25" customHeight="1">
      <c r="A187" s="337"/>
      <c r="B187" s="204"/>
      <c r="C187" s="554"/>
      <c r="D187" s="554"/>
      <c r="E187" s="207"/>
      <c r="F187" s="555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spans="1:26" ht="11.25" customHeight="1">
      <c r="A188" s="337"/>
      <c r="B188" s="204"/>
      <c r="C188" s="554"/>
      <c r="D188" s="554"/>
      <c r="E188" s="207"/>
      <c r="F188" s="555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spans="1:26" ht="11.25" customHeight="1">
      <c r="A189" s="337"/>
      <c r="B189" s="204"/>
      <c r="C189" s="554"/>
      <c r="D189" s="554"/>
      <c r="E189" s="207"/>
      <c r="F189" s="555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spans="1:26" ht="11.25" customHeight="1">
      <c r="A190" s="337"/>
      <c r="B190" s="204"/>
      <c r="C190" s="554"/>
      <c r="D190" s="554"/>
      <c r="E190" s="207"/>
      <c r="F190" s="555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 ht="11.25" customHeight="1">
      <c r="A191" s="337"/>
      <c r="B191" s="204"/>
      <c r="C191" s="554"/>
      <c r="D191" s="554"/>
      <c r="E191" s="207"/>
      <c r="F191" s="555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spans="1:26" ht="11.25" customHeight="1">
      <c r="A192" s="337"/>
      <c r="B192" s="204"/>
      <c r="C192" s="554"/>
      <c r="D192" s="554"/>
      <c r="E192" s="207"/>
      <c r="F192" s="555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spans="1:26" ht="11.25" customHeight="1">
      <c r="A193" s="337"/>
      <c r="B193" s="204"/>
      <c r="C193" s="554"/>
      <c r="D193" s="554"/>
      <c r="E193" s="207"/>
      <c r="F193" s="555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spans="1:26" ht="11.25" customHeight="1">
      <c r="A194" s="337"/>
      <c r="B194" s="204"/>
      <c r="C194" s="554"/>
      <c r="D194" s="554"/>
      <c r="E194" s="207"/>
      <c r="F194" s="555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spans="1:26" ht="11.25" customHeight="1">
      <c r="A195" s="337"/>
      <c r="B195" s="204"/>
      <c r="C195" s="554"/>
      <c r="D195" s="554"/>
      <c r="E195" s="207"/>
      <c r="F195" s="555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spans="1:26" ht="11.25" customHeight="1">
      <c r="A196" s="337"/>
      <c r="B196" s="204"/>
      <c r="C196" s="554"/>
      <c r="D196" s="554"/>
      <c r="E196" s="207"/>
      <c r="F196" s="555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spans="1:26" ht="11.25" customHeight="1">
      <c r="A197" s="337"/>
      <c r="B197" s="204"/>
      <c r="C197" s="554"/>
      <c r="D197" s="554"/>
      <c r="E197" s="207"/>
      <c r="F197" s="555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spans="1:26" ht="11.25" customHeight="1">
      <c r="A198" s="337"/>
      <c r="B198" s="204"/>
      <c r="C198" s="554"/>
      <c r="D198" s="554"/>
      <c r="E198" s="207"/>
      <c r="F198" s="555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spans="1:26" ht="11.25" customHeight="1">
      <c r="A199" s="337"/>
      <c r="B199" s="204"/>
      <c r="C199" s="554"/>
      <c r="D199" s="554"/>
      <c r="E199" s="207"/>
      <c r="F199" s="555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spans="1:26" ht="11.25" customHeight="1">
      <c r="A200" s="337"/>
      <c r="B200" s="204"/>
      <c r="C200" s="554"/>
      <c r="D200" s="554"/>
      <c r="E200" s="207"/>
      <c r="F200" s="555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spans="1:26" ht="11.25" customHeight="1">
      <c r="A201" s="337"/>
      <c r="B201" s="204"/>
      <c r="C201" s="554"/>
      <c r="D201" s="554"/>
      <c r="E201" s="207"/>
      <c r="F201" s="555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spans="1:26" ht="11.25" customHeight="1">
      <c r="A202" s="337"/>
      <c r="B202" s="204"/>
      <c r="C202" s="554"/>
      <c r="D202" s="554"/>
      <c r="E202" s="207"/>
      <c r="F202" s="555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spans="1:26" ht="11.25" customHeight="1">
      <c r="A203" s="337"/>
      <c r="B203" s="204"/>
      <c r="C203" s="554"/>
      <c r="D203" s="554"/>
      <c r="E203" s="207"/>
      <c r="F203" s="555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spans="1:26" ht="11.25" customHeight="1">
      <c r="A204" s="337"/>
      <c r="B204" s="204"/>
      <c r="C204" s="554"/>
      <c r="D204" s="554"/>
      <c r="E204" s="207"/>
      <c r="F204" s="555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spans="1:26" ht="11.25" customHeight="1">
      <c r="A205" s="337"/>
      <c r="B205" s="204"/>
      <c r="C205" s="554"/>
      <c r="D205" s="554"/>
      <c r="E205" s="207"/>
      <c r="F205" s="555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spans="1:26" ht="11.25" customHeight="1">
      <c r="A206" s="337"/>
      <c r="B206" s="204"/>
      <c r="C206" s="554"/>
      <c r="D206" s="554"/>
      <c r="E206" s="207"/>
      <c r="F206" s="555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spans="1:26" ht="11.25" customHeight="1">
      <c r="A207" s="337"/>
      <c r="B207" s="204"/>
      <c r="C207" s="554"/>
      <c r="D207" s="554"/>
      <c r="E207" s="207"/>
      <c r="F207" s="555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spans="1:26" ht="11.25" customHeight="1">
      <c r="A208" s="337"/>
      <c r="B208" s="204"/>
      <c r="C208" s="554"/>
      <c r="D208" s="554"/>
      <c r="E208" s="207"/>
      <c r="F208" s="555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spans="1:26" ht="11.25" customHeight="1">
      <c r="A209" s="337"/>
      <c r="B209" s="204"/>
      <c r="C209" s="554"/>
      <c r="D209" s="554"/>
      <c r="E209" s="207"/>
      <c r="F209" s="555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spans="1:26" ht="11.25" customHeight="1">
      <c r="A210" s="337"/>
      <c r="B210" s="204"/>
      <c r="C210" s="554"/>
      <c r="D210" s="554"/>
      <c r="E210" s="207"/>
      <c r="F210" s="555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spans="1:26" ht="11.25" customHeight="1">
      <c r="A211" s="337"/>
      <c r="B211" s="204"/>
      <c r="C211" s="554"/>
      <c r="D211" s="554"/>
      <c r="E211" s="207"/>
      <c r="F211" s="555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spans="1:26" ht="11.25" customHeight="1">
      <c r="A212" s="337"/>
      <c r="B212" s="204"/>
      <c r="C212" s="554"/>
      <c r="D212" s="554"/>
      <c r="E212" s="207"/>
      <c r="F212" s="555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spans="1:26" ht="11.25" customHeight="1">
      <c r="A213" s="337"/>
      <c r="B213" s="204"/>
      <c r="C213" s="554"/>
      <c r="D213" s="554"/>
      <c r="E213" s="207"/>
      <c r="F213" s="555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spans="1:26" ht="11.25" customHeight="1">
      <c r="A214" s="337"/>
      <c r="B214" s="204"/>
      <c r="C214" s="554"/>
      <c r="D214" s="554"/>
      <c r="E214" s="207"/>
      <c r="F214" s="555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spans="1:26" ht="11.25" customHeight="1">
      <c r="A215" s="337"/>
      <c r="B215" s="204"/>
      <c r="C215" s="554"/>
      <c r="D215" s="554"/>
      <c r="E215" s="207"/>
      <c r="F215" s="555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spans="1:26" ht="11.25" customHeight="1">
      <c r="A216" s="337"/>
      <c r="B216" s="204"/>
      <c r="C216" s="554"/>
      <c r="D216" s="554"/>
      <c r="E216" s="207"/>
      <c r="F216" s="555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spans="1:26" ht="11.25" customHeight="1">
      <c r="A217" s="337"/>
      <c r="B217" s="204"/>
      <c r="C217" s="554"/>
      <c r="D217" s="554"/>
      <c r="E217" s="207"/>
      <c r="F217" s="555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spans="1:26" ht="11.25" customHeight="1">
      <c r="A218" s="337"/>
      <c r="B218" s="204"/>
      <c r="C218" s="554"/>
      <c r="D218" s="554"/>
      <c r="E218" s="207"/>
      <c r="F218" s="555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spans="1:26" ht="11.25" customHeight="1">
      <c r="A219" s="337"/>
      <c r="B219" s="204"/>
      <c r="C219" s="554"/>
      <c r="D219" s="554"/>
      <c r="E219" s="207"/>
      <c r="F219" s="555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spans="1:26" ht="11.25" customHeight="1">
      <c r="A220" s="337"/>
      <c r="B220" s="204"/>
      <c r="C220" s="554"/>
      <c r="D220" s="554"/>
      <c r="E220" s="207"/>
      <c r="F220" s="555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spans="1:26" ht="11.25" customHeight="1">
      <c r="A221" s="337"/>
      <c r="B221" s="204"/>
      <c r="C221" s="554"/>
      <c r="D221" s="554"/>
      <c r="E221" s="207"/>
      <c r="F221" s="555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spans="1:26" ht="11.25" customHeight="1">
      <c r="A222" s="337"/>
      <c r="B222" s="204"/>
      <c r="C222" s="554"/>
      <c r="D222" s="554"/>
      <c r="E222" s="207"/>
      <c r="F222" s="555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spans="1:26" ht="11.25" customHeight="1">
      <c r="A223" s="337"/>
      <c r="B223" s="204"/>
      <c r="C223" s="554"/>
      <c r="D223" s="554"/>
      <c r="E223" s="207"/>
      <c r="F223" s="555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spans="1:26" ht="11.25" customHeight="1">
      <c r="A224" s="337"/>
      <c r="B224" s="204"/>
      <c r="C224" s="554"/>
      <c r="D224" s="554"/>
      <c r="E224" s="207"/>
      <c r="F224" s="555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spans="1:26" ht="11.25" customHeight="1">
      <c r="A225" s="337"/>
      <c r="B225" s="204"/>
      <c r="C225" s="554"/>
      <c r="D225" s="554"/>
      <c r="E225" s="207"/>
      <c r="F225" s="555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spans="1:26" ht="11.25" customHeight="1">
      <c r="A226" s="337"/>
      <c r="B226" s="204"/>
      <c r="C226" s="554"/>
      <c r="D226" s="554"/>
      <c r="E226" s="207"/>
      <c r="F226" s="555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spans="1:26" ht="11.25" customHeight="1">
      <c r="A227" s="337"/>
      <c r="B227" s="204"/>
      <c r="C227" s="554"/>
      <c r="D227" s="554"/>
      <c r="E227" s="207"/>
      <c r="F227" s="555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spans="1:26" ht="11.25" customHeight="1">
      <c r="A228" s="337"/>
      <c r="B228" s="204"/>
      <c r="C228" s="554"/>
      <c r="D228" s="554"/>
      <c r="E228" s="207"/>
      <c r="F228" s="555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spans="1:26" ht="11.25" customHeight="1">
      <c r="A229" s="337"/>
      <c r="B229" s="204"/>
      <c r="C229" s="554"/>
      <c r="D229" s="554"/>
      <c r="E229" s="207"/>
      <c r="F229" s="555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spans="1:26" ht="11.25" customHeight="1">
      <c r="A230" s="337"/>
      <c r="B230" s="204"/>
      <c r="C230" s="554"/>
      <c r="D230" s="554"/>
      <c r="E230" s="207"/>
      <c r="F230" s="555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spans="1:26" ht="11.25" customHeight="1">
      <c r="A231" s="337"/>
      <c r="B231" s="204"/>
      <c r="C231" s="554"/>
      <c r="D231" s="554"/>
      <c r="E231" s="207"/>
      <c r="F231" s="555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spans="1:26" ht="11.25" customHeight="1">
      <c r="A232" s="337"/>
      <c r="B232" s="204"/>
      <c r="C232" s="554"/>
      <c r="D232" s="554"/>
      <c r="E232" s="207"/>
      <c r="F232" s="555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spans="1:26" ht="11.25" customHeight="1">
      <c r="A233" s="337"/>
      <c r="B233" s="204"/>
      <c r="C233" s="554"/>
      <c r="D233" s="554"/>
      <c r="E233" s="207"/>
      <c r="F233" s="555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spans="1:26" ht="11.25" customHeight="1">
      <c r="A234" s="337"/>
      <c r="B234" s="204"/>
      <c r="C234" s="554"/>
      <c r="D234" s="554"/>
      <c r="E234" s="207"/>
      <c r="F234" s="555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spans="1:26" ht="11.25" customHeight="1">
      <c r="A235" s="337"/>
      <c r="B235" s="204"/>
      <c r="C235" s="554"/>
      <c r="D235" s="554"/>
      <c r="E235" s="207"/>
      <c r="F235" s="555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 ht="11.25" customHeight="1">
      <c r="A236" s="337"/>
      <c r="B236" s="204"/>
      <c r="C236" s="554"/>
      <c r="D236" s="554"/>
      <c r="E236" s="207"/>
      <c r="F236" s="555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spans="1:26" ht="11.25" customHeight="1">
      <c r="A237" s="337"/>
      <c r="B237" s="204"/>
      <c r="C237" s="554"/>
      <c r="D237" s="554"/>
      <c r="E237" s="207"/>
      <c r="F237" s="555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spans="1:26" ht="11.25" customHeight="1">
      <c r="A238" s="337"/>
      <c r="B238" s="204"/>
      <c r="C238" s="554"/>
      <c r="D238" s="554"/>
      <c r="E238" s="207"/>
      <c r="F238" s="555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spans="1:26" ht="11.25" customHeight="1">
      <c r="A239" s="337"/>
      <c r="B239" s="204"/>
      <c r="C239" s="554"/>
      <c r="D239" s="554"/>
      <c r="E239" s="207"/>
      <c r="F239" s="555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spans="1:26" ht="11.25" customHeight="1">
      <c r="A240" s="337"/>
      <c r="B240" s="204"/>
      <c r="C240" s="554"/>
      <c r="D240" s="554"/>
      <c r="E240" s="207"/>
      <c r="F240" s="555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 ht="11.25" customHeight="1">
      <c r="A241" s="337"/>
      <c r="B241" s="204"/>
      <c r="C241" s="554"/>
      <c r="D241" s="554"/>
      <c r="E241" s="207"/>
      <c r="F241" s="555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spans="1:26" ht="11.25" customHeight="1">
      <c r="A242" s="337"/>
      <c r="B242" s="204"/>
      <c r="C242" s="554"/>
      <c r="D242" s="554"/>
      <c r="E242" s="207"/>
      <c r="F242" s="555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spans="1:26" ht="11.25" customHeight="1">
      <c r="A243" s="337"/>
      <c r="B243" s="204"/>
      <c r="C243" s="554"/>
      <c r="D243" s="554"/>
      <c r="E243" s="207"/>
      <c r="F243" s="555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spans="1:26" ht="11.25" customHeight="1">
      <c r="A244" s="337"/>
      <c r="B244" s="204"/>
      <c r="C244" s="554"/>
      <c r="D244" s="554"/>
      <c r="E244" s="207"/>
      <c r="F244" s="555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spans="1:26" ht="11.25" customHeight="1">
      <c r="A245" s="337"/>
      <c r="B245" s="204"/>
      <c r="C245" s="554"/>
      <c r="D245" s="554"/>
      <c r="E245" s="207"/>
      <c r="F245" s="555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spans="1:26" ht="11.25" customHeight="1">
      <c r="A246" s="337"/>
      <c r="B246" s="204"/>
      <c r="C246" s="554"/>
      <c r="D246" s="554"/>
      <c r="E246" s="207"/>
      <c r="F246" s="555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spans="1:26" ht="11.25" customHeight="1">
      <c r="A247" s="337"/>
      <c r="B247" s="204"/>
      <c r="C247" s="554"/>
      <c r="D247" s="554"/>
      <c r="E247" s="207"/>
      <c r="F247" s="555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spans="1:26" ht="11.25" customHeight="1">
      <c r="A248" s="337"/>
      <c r="B248" s="204"/>
      <c r="C248" s="554"/>
      <c r="D248" s="554"/>
      <c r="E248" s="207"/>
      <c r="F248" s="555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spans="1:26" ht="11.25" customHeight="1">
      <c r="A249" s="337"/>
      <c r="B249" s="204"/>
      <c r="C249" s="554"/>
      <c r="D249" s="554"/>
      <c r="E249" s="207"/>
      <c r="F249" s="555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 ht="11.25" customHeight="1">
      <c r="A250" s="337"/>
      <c r="B250" s="204"/>
      <c r="C250" s="554"/>
      <c r="D250" s="554"/>
      <c r="E250" s="207"/>
      <c r="F250" s="555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spans="1:26" ht="11.25" customHeight="1">
      <c r="A251" s="337"/>
      <c r="B251" s="204"/>
      <c r="C251" s="554"/>
      <c r="D251" s="554"/>
      <c r="E251" s="207"/>
      <c r="F251" s="555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spans="1:26" ht="11.25" customHeight="1">
      <c r="A252" s="337"/>
      <c r="B252" s="204"/>
      <c r="C252" s="554"/>
      <c r="D252" s="554"/>
      <c r="E252" s="207"/>
      <c r="F252" s="555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spans="1:26" ht="11.25" customHeight="1">
      <c r="A253" s="337"/>
      <c r="B253" s="204"/>
      <c r="C253" s="554"/>
      <c r="D253" s="554"/>
      <c r="E253" s="207"/>
      <c r="F253" s="555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 ht="11.25" customHeight="1">
      <c r="A254" s="337"/>
      <c r="B254" s="204"/>
      <c r="C254" s="554"/>
      <c r="D254" s="554"/>
      <c r="E254" s="207"/>
      <c r="F254" s="555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spans="1:26" ht="11.25" customHeight="1">
      <c r="A255" s="337"/>
      <c r="B255" s="204"/>
      <c r="C255" s="554"/>
      <c r="D255" s="554"/>
      <c r="E255" s="207"/>
      <c r="F255" s="555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spans="1:26" ht="11.25" customHeight="1">
      <c r="A256" s="337"/>
      <c r="B256" s="204"/>
      <c r="C256" s="554"/>
      <c r="D256" s="554"/>
      <c r="E256" s="207"/>
      <c r="F256" s="555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spans="1:26" ht="11.25" customHeight="1">
      <c r="A257" s="337"/>
      <c r="B257" s="204"/>
      <c r="C257" s="554"/>
      <c r="D257" s="554"/>
      <c r="E257" s="207"/>
      <c r="F257" s="555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spans="1:26" ht="11.25" customHeight="1">
      <c r="A258" s="337"/>
      <c r="B258" s="204"/>
      <c r="C258" s="554"/>
      <c r="D258" s="554"/>
      <c r="E258" s="207"/>
      <c r="F258" s="555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spans="1:26" ht="11.25" customHeight="1">
      <c r="A259" s="337"/>
      <c r="B259" s="204"/>
      <c r="C259" s="554"/>
      <c r="D259" s="554"/>
      <c r="E259" s="207"/>
      <c r="F259" s="555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spans="1:26" ht="11.25" customHeight="1">
      <c r="A260" s="337"/>
      <c r="B260" s="204"/>
      <c r="C260" s="554"/>
      <c r="D260" s="554"/>
      <c r="E260" s="207"/>
      <c r="F260" s="555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spans="1:26" ht="11.25" customHeight="1">
      <c r="A261" s="337"/>
      <c r="B261" s="204"/>
      <c r="C261" s="554"/>
      <c r="D261" s="554"/>
      <c r="E261" s="207"/>
      <c r="F261" s="555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spans="1:26" ht="11.25" customHeight="1">
      <c r="A262" s="337"/>
      <c r="B262" s="204"/>
      <c r="C262" s="554"/>
      <c r="D262" s="554"/>
      <c r="E262" s="207"/>
      <c r="F262" s="555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spans="1:26" ht="11.25" customHeight="1">
      <c r="A263" s="337"/>
      <c r="B263" s="204"/>
      <c r="C263" s="554"/>
      <c r="D263" s="554"/>
      <c r="E263" s="207"/>
      <c r="F263" s="555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 ht="11.25" customHeight="1">
      <c r="A264" s="337"/>
      <c r="B264" s="204"/>
      <c r="C264" s="554"/>
      <c r="D264" s="554"/>
      <c r="E264" s="207"/>
      <c r="F264" s="555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spans="1:26" ht="11.25" customHeight="1">
      <c r="A265" s="337"/>
      <c r="B265" s="204"/>
      <c r="C265" s="554"/>
      <c r="D265" s="554"/>
      <c r="E265" s="207"/>
      <c r="F265" s="555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spans="1:26" ht="11.25" customHeight="1">
      <c r="A266" s="337"/>
      <c r="B266" s="204"/>
      <c r="C266" s="554"/>
      <c r="D266" s="554"/>
      <c r="E266" s="207"/>
      <c r="F266" s="555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spans="1:26" ht="11.25" customHeight="1">
      <c r="A267" s="337"/>
      <c r="B267" s="204"/>
      <c r="C267" s="554"/>
      <c r="D267" s="554"/>
      <c r="E267" s="207"/>
      <c r="F267" s="555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spans="1:26" ht="11.25" customHeight="1">
      <c r="A268" s="337"/>
      <c r="B268" s="204"/>
      <c r="C268" s="554"/>
      <c r="D268" s="554"/>
      <c r="E268" s="207"/>
      <c r="F268" s="555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spans="1:26" ht="11.25" customHeight="1">
      <c r="A269" s="337"/>
      <c r="B269" s="204"/>
      <c r="C269" s="554"/>
      <c r="D269" s="554"/>
      <c r="E269" s="207"/>
      <c r="F269" s="555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spans="1:26" ht="11.25" customHeight="1">
      <c r="A270" s="337"/>
      <c r="B270" s="204"/>
      <c r="C270" s="554"/>
      <c r="D270" s="554"/>
      <c r="E270" s="207"/>
      <c r="F270" s="555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spans="1:26" ht="11.25" customHeight="1">
      <c r="A271" s="337"/>
      <c r="B271" s="204"/>
      <c r="C271" s="554"/>
      <c r="D271" s="554"/>
      <c r="E271" s="207"/>
      <c r="F271" s="555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 ht="11.25" customHeight="1">
      <c r="A272" s="337"/>
      <c r="B272" s="204"/>
      <c r="C272" s="554"/>
      <c r="D272" s="554"/>
      <c r="E272" s="207"/>
      <c r="F272" s="555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spans="1:26" ht="11.25" customHeight="1">
      <c r="A273" s="337"/>
      <c r="B273" s="204"/>
      <c r="C273" s="554"/>
      <c r="D273" s="554"/>
      <c r="E273" s="207"/>
      <c r="F273" s="555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spans="1:26" ht="11.25" customHeight="1">
      <c r="A274" s="337"/>
      <c r="B274" s="204"/>
      <c r="C274" s="554"/>
      <c r="D274" s="554"/>
      <c r="E274" s="207"/>
      <c r="F274" s="555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spans="1:26" ht="11.25" customHeight="1">
      <c r="A275" s="337"/>
      <c r="B275" s="204"/>
      <c r="C275" s="554"/>
      <c r="D275" s="554"/>
      <c r="E275" s="207"/>
      <c r="F275" s="555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spans="1:26" ht="11.25" customHeight="1">
      <c r="A276" s="337"/>
      <c r="B276" s="204"/>
      <c r="C276" s="554"/>
      <c r="D276" s="554"/>
      <c r="E276" s="207"/>
      <c r="F276" s="555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spans="1:26" ht="11.25" customHeight="1">
      <c r="A277" s="337"/>
      <c r="B277" s="204"/>
      <c r="C277" s="554"/>
      <c r="D277" s="554"/>
      <c r="E277" s="207"/>
      <c r="F277" s="555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spans="1:26" ht="11.25" customHeight="1">
      <c r="A278" s="337"/>
      <c r="B278" s="204"/>
      <c r="C278" s="554"/>
      <c r="D278" s="554"/>
      <c r="E278" s="207"/>
      <c r="F278" s="555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spans="1:26" ht="11.25" customHeight="1">
      <c r="A279" s="337"/>
      <c r="B279" s="204"/>
      <c r="C279" s="554"/>
      <c r="D279" s="554"/>
      <c r="E279" s="207"/>
      <c r="F279" s="555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spans="1:26" ht="11.25" customHeight="1">
      <c r="A280" s="337"/>
      <c r="B280" s="204"/>
      <c r="C280" s="554"/>
      <c r="D280" s="554"/>
      <c r="E280" s="207"/>
      <c r="F280" s="555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spans="1:26" ht="11.25" customHeight="1">
      <c r="A281" s="337"/>
      <c r="B281" s="204"/>
      <c r="C281" s="554"/>
      <c r="D281" s="554"/>
      <c r="E281" s="207"/>
      <c r="F281" s="555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spans="1:26" ht="11.25" customHeight="1">
      <c r="A282" s="337"/>
      <c r="B282" s="204"/>
      <c r="C282" s="554"/>
      <c r="D282" s="554"/>
      <c r="E282" s="207"/>
      <c r="F282" s="555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spans="1:26" ht="11.25" customHeight="1">
      <c r="A283" s="337"/>
      <c r="B283" s="204"/>
      <c r="C283" s="554"/>
      <c r="D283" s="554"/>
      <c r="E283" s="207"/>
      <c r="F283" s="555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spans="1:26" ht="11.25" customHeight="1">
      <c r="A284" s="337"/>
      <c r="B284" s="204"/>
      <c r="C284" s="554"/>
      <c r="D284" s="554"/>
      <c r="E284" s="207"/>
      <c r="F284" s="555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spans="1:26" ht="11.25" customHeight="1">
      <c r="A285" s="337"/>
      <c r="B285" s="204"/>
      <c r="C285" s="554"/>
      <c r="D285" s="554"/>
      <c r="E285" s="207"/>
      <c r="F285" s="555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spans="1:26" ht="11.25" customHeight="1">
      <c r="A286" s="337"/>
      <c r="B286" s="204"/>
      <c r="C286" s="554"/>
      <c r="D286" s="554"/>
      <c r="E286" s="207"/>
      <c r="F286" s="555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spans="1:26" ht="11.25" customHeight="1">
      <c r="A287" s="337"/>
      <c r="B287" s="204"/>
      <c r="C287" s="554"/>
      <c r="D287" s="554"/>
      <c r="E287" s="207"/>
      <c r="F287" s="555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spans="1:26" ht="11.25" customHeight="1">
      <c r="A288" s="337"/>
      <c r="B288" s="204"/>
      <c r="C288" s="554"/>
      <c r="D288" s="554"/>
      <c r="E288" s="207"/>
      <c r="F288" s="555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spans="1:26" ht="11.25" customHeight="1">
      <c r="A289" s="337"/>
      <c r="B289" s="204"/>
      <c r="C289" s="554"/>
      <c r="D289" s="554"/>
      <c r="E289" s="207"/>
      <c r="F289" s="555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spans="1:26" ht="11.25" customHeight="1">
      <c r="A290" s="337"/>
      <c r="B290" s="204"/>
      <c r="C290" s="554"/>
      <c r="D290" s="554"/>
      <c r="E290" s="207"/>
      <c r="F290" s="555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spans="1:26" ht="11.25" customHeight="1">
      <c r="A291" s="337"/>
      <c r="B291" s="204"/>
      <c r="C291" s="554"/>
      <c r="D291" s="554"/>
      <c r="E291" s="207"/>
      <c r="F291" s="555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spans="1:26" ht="11.25" customHeight="1">
      <c r="A292" s="337"/>
      <c r="B292" s="204"/>
      <c r="C292" s="554"/>
      <c r="D292" s="554"/>
      <c r="E292" s="207"/>
      <c r="F292" s="555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spans="1:26" ht="11.25" customHeight="1">
      <c r="A293" s="337"/>
      <c r="B293" s="204"/>
      <c r="C293" s="554"/>
      <c r="D293" s="554"/>
      <c r="E293" s="207"/>
      <c r="F293" s="555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spans="1:26" ht="11.25" customHeight="1">
      <c r="A294" s="337"/>
      <c r="B294" s="204"/>
      <c r="C294" s="554"/>
      <c r="D294" s="554"/>
      <c r="E294" s="207"/>
      <c r="F294" s="555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spans="1:26" ht="11.25" customHeight="1">
      <c r="A295" s="337"/>
      <c r="B295" s="204"/>
      <c r="C295" s="554"/>
      <c r="D295" s="554"/>
      <c r="E295" s="207"/>
      <c r="F295" s="555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spans="1:26" ht="11.25" customHeight="1">
      <c r="A296" s="337"/>
      <c r="B296" s="204"/>
      <c r="C296" s="554"/>
      <c r="D296" s="554"/>
      <c r="E296" s="207"/>
      <c r="F296" s="555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spans="1:26" ht="11.25" customHeight="1">
      <c r="A297" s="337"/>
      <c r="B297" s="204"/>
      <c r="C297" s="554"/>
      <c r="D297" s="554"/>
      <c r="E297" s="207"/>
      <c r="F297" s="555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spans="1:26" ht="11.25" customHeight="1">
      <c r="A298" s="337"/>
      <c r="B298" s="204"/>
      <c r="C298" s="554"/>
      <c r="D298" s="554"/>
      <c r="E298" s="207"/>
      <c r="F298" s="555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spans="1:26" ht="11.25" customHeight="1">
      <c r="A299" s="337"/>
      <c r="B299" s="204"/>
      <c r="C299" s="554"/>
      <c r="D299" s="554"/>
      <c r="E299" s="207"/>
      <c r="F299" s="555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spans="1:26" ht="11.25" customHeight="1">
      <c r="A300" s="337"/>
      <c r="B300" s="204"/>
      <c r="C300" s="554"/>
      <c r="D300" s="554"/>
      <c r="E300" s="207"/>
      <c r="F300" s="555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spans="1:26" ht="11.25" customHeight="1">
      <c r="A301" s="337"/>
      <c r="B301" s="204"/>
      <c r="C301" s="554"/>
      <c r="D301" s="554"/>
      <c r="E301" s="207"/>
      <c r="F301" s="555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spans="1:26" ht="11.25" customHeight="1">
      <c r="A302" s="337"/>
      <c r="B302" s="204"/>
      <c r="C302" s="554"/>
      <c r="D302" s="554"/>
      <c r="E302" s="207"/>
      <c r="F302" s="555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spans="1:26" ht="11.25" customHeight="1">
      <c r="A303" s="337"/>
      <c r="B303" s="204"/>
      <c r="C303" s="554"/>
      <c r="D303" s="554"/>
      <c r="E303" s="207"/>
      <c r="F303" s="555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spans="1:26" ht="11.25" customHeight="1">
      <c r="A304" s="337"/>
      <c r="B304" s="204"/>
      <c r="C304" s="554"/>
      <c r="D304" s="554"/>
      <c r="E304" s="207"/>
      <c r="F304" s="555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spans="1:26" ht="11.25" customHeight="1">
      <c r="A305" s="337"/>
      <c r="B305" s="204"/>
      <c r="C305" s="554"/>
      <c r="D305" s="554"/>
      <c r="E305" s="207"/>
      <c r="F305" s="555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spans="1:26" ht="11.25" customHeight="1">
      <c r="A306" s="337"/>
      <c r="B306" s="204"/>
      <c r="C306" s="554"/>
      <c r="D306" s="554"/>
      <c r="E306" s="207"/>
      <c r="F306" s="555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spans="1:26" ht="11.25" customHeight="1">
      <c r="A307" s="337"/>
      <c r="B307" s="204"/>
      <c r="C307" s="554"/>
      <c r="D307" s="554"/>
      <c r="E307" s="207"/>
      <c r="F307" s="555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spans="1:26" ht="11.25" customHeight="1">
      <c r="A308" s="337"/>
      <c r="B308" s="204"/>
      <c r="C308" s="554"/>
      <c r="D308" s="554"/>
      <c r="E308" s="207"/>
      <c r="F308" s="555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spans="1:26" ht="11.25" customHeight="1">
      <c r="A309" s="337"/>
      <c r="B309" s="204"/>
      <c r="C309" s="554"/>
      <c r="D309" s="554"/>
      <c r="E309" s="207"/>
      <c r="F309" s="555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spans="1:26" ht="11.25" customHeight="1">
      <c r="A310" s="337"/>
      <c r="B310" s="204"/>
      <c r="C310" s="554"/>
      <c r="D310" s="554"/>
      <c r="E310" s="207"/>
      <c r="F310" s="555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spans="1:26" ht="11.25" customHeight="1">
      <c r="A311" s="337"/>
      <c r="B311" s="204"/>
      <c r="C311" s="554"/>
      <c r="D311" s="554"/>
      <c r="E311" s="207"/>
      <c r="F311" s="555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spans="1:26" ht="11.25" customHeight="1">
      <c r="A312" s="337"/>
      <c r="B312" s="204"/>
      <c r="C312" s="554"/>
      <c r="D312" s="554"/>
      <c r="E312" s="207"/>
      <c r="F312" s="555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spans="1:26" ht="11.25" customHeight="1">
      <c r="A313" s="337"/>
      <c r="B313" s="204"/>
      <c r="C313" s="554"/>
      <c r="D313" s="554"/>
      <c r="E313" s="207"/>
      <c r="F313" s="555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spans="1:26" ht="11.25" customHeight="1">
      <c r="A314" s="337"/>
      <c r="B314" s="204"/>
      <c r="C314" s="554"/>
      <c r="D314" s="554"/>
      <c r="E314" s="207"/>
      <c r="F314" s="555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spans="1:26" ht="11.25" customHeight="1">
      <c r="A315" s="337"/>
      <c r="B315" s="204"/>
      <c r="C315" s="554"/>
      <c r="D315" s="554"/>
      <c r="E315" s="207"/>
      <c r="F315" s="555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spans="1:26" ht="11.25" customHeight="1">
      <c r="A316" s="337"/>
      <c r="B316" s="204"/>
      <c r="C316" s="554"/>
      <c r="D316" s="554"/>
      <c r="E316" s="207"/>
      <c r="F316" s="555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spans="1:26" ht="11.25" customHeight="1">
      <c r="A317" s="337"/>
      <c r="B317" s="204"/>
      <c r="C317" s="554"/>
      <c r="D317" s="554"/>
      <c r="E317" s="207"/>
      <c r="F317" s="555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spans="1:26" ht="11.25" customHeight="1">
      <c r="A318" s="337"/>
      <c r="B318" s="204"/>
      <c r="C318" s="554"/>
      <c r="D318" s="554"/>
      <c r="E318" s="207"/>
      <c r="F318" s="555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spans="1:26" ht="11.25" customHeight="1">
      <c r="A319" s="337"/>
      <c r="B319" s="204"/>
      <c r="C319" s="554"/>
      <c r="D319" s="554"/>
      <c r="E319" s="207"/>
      <c r="F319" s="555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spans="1:26" ht="11.25" customHeight="1">
      <c r="A320" s="337"/>
      <c r="B320" s="204"/>
      <c r="C320" s="554"/>
      <c r="D320" s="554"/>
      <c r="E320" s="207"/>
      <c r="F320" s="555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spans="1:26" ht="11.25" customHeight="1">
      <c r="A321" s="337"/>
      <c r="B321" s="204"/>
      <c r="C321" s="554"/>
      <c r="D321" s="554"/>
      <c r="E321" s="207"/>
      <c r="F321" s="555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spans="1:26" ht="11.25" customHeight="1">
      <c r="A322" s="337"/>
      <c r="B322" s="204"/>
      <c r="C322" s="554"/>
      <c r="D322" s="554"/>
      <c r="E322" s="207"/>
      <c r="F322" s="555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spans="1:26" ht="11.25" customHeight="1">
      <c r="A323" s="337"/>
      <c r="B323" s="204"/>
      <c r="C323" s="554"/>
      <c r="D323" s="554"/>
      <c r="E323" s="207"/>
      <c r="F323" s="555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spans="1:26" ht="11.25" customHeight="1">
      <c r="A324" s="337"/>
      <c r="B324" s="204"/>
      <c r="C324" s="554"/>
      <c r="D324" s="554"/>
      <c r="E324" s="207"/>
      <c r="F324" s="555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spans="1:26" ht="11.25" customHeight="1">
      <c r="A325" s="337"/>
      <c r="B325" s="204"/>
      <c r="C325" s="554"/>
      <c r="D325" s="554"/>
      <c r="E325" s="207"/>
      <c r="F325" s="555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spans="1:26" ht="11.25" customHeight="1">
      <c r="A326" s="337"/>
      <c r="B326" s="204"/>
      <c r="C326" s="554"/>
      <c r="D326" s="554"/>
      <c r="E326" s="207"/>
      <c r="F326" s="555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spans="1:26" ht="11.25" customHeight="1">
      <c r="A327" s="337"/>
      <c r="B327" s="204"/>
      <c r="C327" s="554"/>
      <c r="D327" s="554"/>
      <c r="E327" s="207"/>
      <c r="F327" s="555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spans="1:26" ht="11.25" customHeight="1">
      <c r="A328" s="337"/>
      <c r="B328" s="204"/>
      <c r="C328" s="554"/>
      <c r="D328" s="554"/>
      <c r="E328" s="207"/>
      <c r="F328" s="555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spans="1:26" ht="11.25" customHeight="1">
      <c r="A329" s="337"/>
      <c r="B329" s="204"/>
      <c r="C329" s="554"/>
      <c r="D329" s="554"/>
      <c r="E329" s="207"/>
      <c r="F329" s="555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spans="1:26" ht="11.25" customHeight="1">
      <c r="A330" s="337"/>
      <c r="B330" s="204"/>
      <c r="C330" s="554"/>
      <c r="D330" s="554"/>
      <c r="E330" s="207"/>
      <c r="F330" s="555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spans="1:26" ht="11.25" customHeight="1">
      <c r="A331" s="337"/>
      <c r="B331" s="204"/>
      <c r="C331" s="554"/>
      <c r="D331" s="554"/>
      <c r="E331" s="207"/>
      <c r="F331" s="555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spans="1:26" ht="11.25" customHeight="1">
      <c r="A332" s="337"/>
      <c r="B332" s="204"/>
      <c r="C332" s="554"/>
      <c r="D332" s="554"/>
      <c r="E332" s="207"/>
      <c r="F332" s="555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spans="1:26" ht="11.25" customHeight="1">
      <c r="A333" s="337"/>
      <c r="B333" s="204"/>
      <c r="C333" s="554"/>
      <c r="D333" s="554"/>
      <c r="E333" s="207"/>
      <c r="F333" s="555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spans="1:26" ht="11.25" customHeight="1">
      <c r="A334" s="337"/>
      <c r="B334" s="204"/>
      <c r="C334" s="554"/>
      <c r="D334" s="554"/>
      <c r="E334" s="207"/>
      <c r="F334" s="555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spans="1:26" ht="11.25" customHeight="1">
      <c r="A335" s="337"/>
      <c r="B335" s="204"/>
      <c r="C335" s="554"/>
      <c r="D335" s="554"/>
      <c r="E335" s="207"/>
      <c r="F335" s="555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spans="1:26" ht="11.25" customHeight="1">
      <c r="A336" s="337"/>
      <c r="B336" s="204"/>
      <c r="C336" s="554"/>
      <c r="D336" s="554"/>
      <c r="E336" s="207"/>
      <c r="F336" s="555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spans="1:26" ht="11.25" customHeight="1">
      <c r="A337" s="337"/>
      <c r="B337" s="204"/>
      <c r="C337" s="554"/>
      <c r="D337" s="554"/>
      <c r="E337" s="207"/>
      <c r="F337" s="555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spans="1:26" ht="11.25" customHeight="1">
      <c r="A338" s="337"/>
      <c r="B338" s="204"/>
      <c r="C338" s="554"/>
      <c r="D338" s="554"/>
      <c r="E338" s="207"/>
      <c r="F338" s="555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spans="1:26" ht="11.25" customHeight="1">
      <c r="A339" s="337"/>
      <c r="B339" s="204"/>
      <c r="C339" s="554"/>
      <c r="D339" s="554"/>
      <c r="E339" s="207"/>
      <c r="F339" s="555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spans="1:26" ht="11.25" customHeight="1">
      <c r="A340" s="337"/>
      <c r="B340" s="204"/>
      <c r="C340" s="554"/>
      <c r="D340" s="554"/>
      <c r="E340" s="207"/>
      <c r="F340" s="555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spans="1:26" ht="11.25" customHeight="1">
      <c r="A341" s="337"/>
      <c r="B341" s="204"/>
      <c r="C341" s="554"/>
      <c r="D341" s="554"/>
      <c r="E341" s="207"/>
      <c r="F341" s="555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spans="1:26" ht="11.25" customHeight="1">
      <c r="A342" s="337"/>
      <c r="B342" s="204"/>
      <c r="C342" s="554"/>
      <c r="D342" s="554"/>
      <c r="E342" s="207"/>
      <c r="F342" s="555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spans="1:26" ht="11.25" customHeight="1">
      <c r="A343" s="337"/>
      <c r="B343" s="204"/>
      <c r="C343" s="554"/>
      <c r="D343" s="554"/>
      <c r="E343" s="207"/>
      <c r="F343" s="555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spans="1:26" ht="11.25" customHeight="1">
      <c r="A344" s="337"/>
      <c r="B344" s="204"/>
      <c r="C344" s="554"/>
      <c r="D344" s="554"/>
      <c r="E344" s="207"/>
      <c r="F344" s="555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spans="1:26" ht="11.25" customHeight="1">
      <c r="A345" s="337"/>
      <c r="B345" s="204"/>
      <c r="C345" s="554"/>
      <c r="D345" s="554"/>
      <c r="E345" s="207"/>
      <c r="F345" s="555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spans="1:26" ht="11.25" customHeight="1">
      <c r="A346" s="337"/>
      <c r="B346" s="204"/>
      <c r="C346" s="554"/>
      <c r="D346" s="554"/>
      <c r="E346" s="207"/>
      <c r="F346" s="555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spans="1:26" ht="11.25" customHeight="1">
      <c r="A347" s="337"/>
      <c r="B347" s="204"/>
      <c r="C347" s="554"/>
      <c r="D347" s="554"/>
      <c r="E347" s="207"/>
      <c r="F347" s="555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spans="1:26" ht="11.25" customHeight="1">
      <c r="A348" s="337"/>
      <c r="B348" s="204"/>
      <c r="C348" s="554"/>
      <c r="D348" s="554"/>
      <c r="E348" s="207"/>
      <c r="F348" s="555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spans="1:26" ht="11.25" customHeight="1">
      <c r="A349" s="337"/>
      <c r="B349" s="204"/>
      <c r="C349" s="554"/>
      <c r="D349" s="554"/>
      <c r="E349" s="207"/>
      <c r="F349" s="555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spans="1:26" ht="11.25" customHeight="1">
      <c r="A350" s="337"/>
      <c r="B350" s="204"/>
      <c r="C350" s="554"/>
      <c r="D350" s="554"/>
      <c r="E350" s="207"/>
      <c r="F350" s="555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spans="1:26" ht="11.25" customHeight="1">
      <c r="A351" s="337"/>
      <c r="B351" s="204"/>
      <c r="C351" s="554"/>
      <c r="D351" s="554"/>
      <c r="E351" s="207"/>
      <c r="F351" s="555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spans="1:26" ht="11.25" customHeight="1">
      <c r="A352" s="337"/>
      <c r="B352" s="204"/>
      <c r="C352" s="554"/>
      <c r="D352" s="554"/>
      <c r="E352" s="207"/>
      <c r="F352" s="555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spans="1:26" ht="11.25" customHeight="1">
      <c r="A353" s="337"/>
      <c r="B353" s="204"/>
      <c r="C353" s="554"/>
      <c r="D353" s="554"/>
      <c r="E353" s="207"/>
      <c r="F353" s="555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 ht="11.25" customHeight="1">
      <c r="A354" s="337"/>
      <c r="B354" s="204"/>
      <c r="C354" s="554"/>
      <c r="D354" s="554"/>
      <c r="E354" s="207"/>
      <c r="F354" s="555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spans="1:26" ht="11.25" customHeight="1">
      <c r="A355" s="337"/>
      <c r="B355" s="204"/>
      <c r="C355" s="554"/>
      <c r="D355" s="554"/>
      <c r="E355" s="207"/>
      <c r="F355" s="555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spans="1:26" ht="11.25" customHeight="1">
      <c r="A356" s="337"/>
      <c r="B356" s="204"/>
      <c r="C356" s="554"/>
      <c r="D356" s="554"/>
      <c r="E356" s="207"/>
      <c r="F356" s="555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spans="1:26" ht="11.25" customHeight="1">
      <c r="A357" s="337"/>
      <c r="B357" s="204"/>
      <c r="C357" s="554"/>
      <c r="D357" s="554"/>
      <c r="E357" s="207"/>
      <c r="F357" s="555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spans="1:26" ht="11.25" customHeight="1">
      <c r="A358" s="337"/>
      <c r="B358" s="204"/>
      <c r="C358" s="554"/>
      <c r="D358" s="554"/>
      <c r="E358" s="207"/>
      <c r="F358" s="555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spans="1:26" ht="11.25" customHeight="1">
      <c r="A359" s="337"/>
      <c r="B359" s="204"/>
      <c r="C359" s="554"/>
      <c r="D359" s="554"/>
      <c r="E359" s="207"/>
      <c r="F359" s="555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spans="1:26" ht="11.25" customHeight="1">
      <c r="A360" s="337"/>
      <c r="B360" s="204"/>
      <c r="C360" s="554"/>
      <c r="D360" s="554"/>
      <c r="E360" s="207"/>
      <c r="F360" s="555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spans="1:26" ht="11.25" customHeight="1">
      <c r="A361" s="337"/>
      <c r="B361" s="204"/>
      <c r="C361" s="554"/>
      <c r="D361" s="554"/>
      <c r="E361" s="207"/>
      <c r="F361" s="555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spans="1:26" ht="11.25" customHeight="1">
      <c r="A362" s="337"/>
      <c r="B362" s="204"/>
      <c r="C362" s="554"/>
      <c r="D362" s="554"/>
      <c r="E362" s="207"/>
      <c r="F362" s="555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spans="1:26" ht="11.25" customHeight="1">
      <c r="A363" s="337"/>
      <c r="B363" s="204"/>
      <c r="C363" s="554"/>
      <c r="D363" s="554"/>
      <c r="E363" s="207"/>
      <c r="F363" s="555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spans="1:26" ht="11.25" customHeight="1">
      <c r="A364" s="337"/>
      <c r="B364" s="204"/>
      <c r="C364" s="554"/>
      <c r="D364" s="554"/>
      <c r="E364" s="207"/>
      <c r="F364" s="555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spans="1:26" ht="11.25" customHeight="1">
      <c r="A365" s="337"/>
      <c r="B365" s="204"/>
      <c r="C365" s="554"/>
      <c r="D365" s="554"/>
      <c r="E365" s="207"/>
      <c r="F365" s="555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spans="1:26" ht="11.25" customHeight="1">
      <c r="A366" s="337"/>
      <c r="B366" s="204"/>
      <c r="C366" s="554"/>
      <c r="D366" s="554"/>
      <c r="E366" s="207"/>
      <c r="F366" s="555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spans="1:26" ht="11.25" customHeight="1">
      <c r="A367" s="337"/>
      <c r="B367" s="204"/>
      <c r="C367" s="554"/>
      <c r="D367" s="554"/>
      <c r="E367" s="207"/>
      <c r="F367" s="555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 ht="11.25" customHeight="1">
      <c r="A368" s="337"/>
      <c r="B368" s="204"/>
      <c r="C368" s="554"/>
      <c r="D368" s="554"/>
      <c r="E368" s="207"/>
      <c r="F368" s="555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spans="1:26" ht="11.25" customHeight="1">
      <c r="A369" s="337"/>
      <c r="B369" s="204"/>
      <c r="C369" s="554"/>
      <c r="D369" s="554"/>
      <c r="E369" s="207"/>
      <c r="F369" s="555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spans="1:26" ht="11.25" customHeight="1">
      <c r="A370" s="337"/>
      <c r="B370" s="204"/>
      <c r="C370" s="554"/>
      <c r="D370" s="554"/>
      <c r="E370" s="207"/>
      <c r="F370" s="555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spans="1:26" ht="11.25" customHeight="1">
      <c r="A371" s="337"/>
      <c r="B371" s="204"/>
      <c r="C371" s="554"/>
      <c r="D371" s="554"/>
      <c r="E371" s="207"/>
      <c r="F371" s="555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spans="1:26" ht="11.25" customHeight="1">
      <c r="A372" s="337"/>
      <c r="B372" s="204"/>
      <c r="C372" s="554"/>
      <c r="D372" s="554"/>
      <c r="E372" s="207"/>
      <c r="F372" s="555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spans="1:26" ht="11.25" customHeight="1">
      <c r="A373" s="337"/>
      <c r="B373" s="204"/>
      <c r="C373" s="554"/>
      <c r="D373" s="554"/>
      <c r="E373" s="207"/>
      <c r="F373" s="555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spans="1:26" ht="11.25" customHeight="1">
      <c r="A374" s="337"/>
      <c r="B374" s="204"/>
      <c r="C374" s="554"/>
      <c r="D374" s="554"/>
      <c r="E374" s="207"/>
      <c r="F374" s="555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spans="1:26" ht="11.25" customHeight="1">
      <c r="A375" s="337"/>
      <c r="B375" s="204"/>
      <c r="C375" s="554"/>
      <c r="D375" s="554"/>
      <c r="E375" s="207"/>
      <c r="F375" s="555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spans="1:26" ht="11.25" customHeight="1">
      <c r="A376" s="337"/>
      <c r="B376" s="204"/>
      <c r="C376" s="554"/>
      <c r="D376" s="554"/>
      <c r="E376" s="207"/>
      <c r="F376" s="555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spans="1:26" ht="11.25" customHeight="1">
      <c r="A377" s="337"/>
      <c r="B377" s="204"/>
      <c r="C377" s="554"/>
      <c r="D377" s="554"/>
      <c r="E377" s="207"/>
      <c r="F377" s="555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spans="1:26" ht="11.25" customHeight="1">
      <c r="A378" s="337"/>
      <c r="B378" s="204"/>
      <c r="C378" s="554"/>
      <c r="D378" s="554"/>
      <c r="E378" s="207"/>
      <c r="F378" s="555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spans="1:26" ht="11.25" customHeight="1">
      <c r="A379" s="337"/>
      <c r="B379" s="204"/>
      <c r="C379" s="554"/>
      <c r="D379" s="554"/>
      <c r="E379" s="207"/>
      <c r="F379" s="555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spans="1:26" ht="11.25" customHeight="1">
      <c r="A380" s="337"/>
      <c r="B380" s="204"/>
      <c r="C380" s="554"/>
      <c r="D380" s="554"/>
      <c r="E380" s="207"/>
      <c r="F380" s="555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spans="1:26" ht="11.25" customHeight="1">
      <c r="A381" s="337"/>
      <c r="B381" s="204"/>
      <c r="C381" s="554"/>
      <c r="D381" s="554"/>
      <c r="E381" s="207"/>
      <c r="F381" s="555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spans="1:26" ht="11.25" customHeight="1">
      <c r="A382" s="337"/>
      <c r="B382" s="204"/>
      <c r="C382" s="554"/>
      <c r="D382" s="554"/>
      <c r="E382" s="207"/>
      <c r="F382" s="555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spans="1:26" ht="11.25" customHeight="1">
      <c r="A383" s="337"/>
      <c r="B383" s="204"/>
      <c r="C383" s="554"/>
      <c r="D383" s="554"/>
      <c r="E383" s="207"/>
      <c r="F383" s="555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 ht="11.25" customHeight="1">
      <c r="A384" s="337"/>
      <c r="B384" s="204"/>
      <c r="C384" s="554"/>
      <c r="D384" s="554"/>
      <c r="E384" s="207"/>
      <c r="F384" s="555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spans="1:26" ht="11.25" customHeight="1">
      <c r="A385" s="337"/>
      <c r="B385" s="204"/>
      <c r="C385" s="554"/>
      <c r="D385" s="554"/>
      <c r="E385" s="207"/>
      <c r="F385" s="555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spans="1:26" ht="11.25" customHeight="1">
      <c r="A386" s="337"/>
      <c r="B386" s="204"/>
      <c r="C386" s="554"/>
      <c r="D386" s="554"/>
      <c r="E386" s="207"/>
      <c r="F386" s="555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spans="1:26" ht="11.25" customHeight="1">
      <c r="A387" s="337"/>
      <c r="B387" s="204"/>
      <c r="C387" s="554"/>
      <c r="D387" s="554"/>
      <c r="E387" s="207"/>
      <c r="F387" s="555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spans="1:26" ht="11.25" customHeight="1">
      <c r="A388" s="337"/>
      <c r="B388" s="204"/>
      <c r="C388" s="554"/>
      <c r="D388" s="554"/>
      <c r="E388" s="207"/>
      <c r="F388" s="555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 ht="11.25" customHeight="1">
      <c r="A389" s="337"/>
      <c r="B389" s="204"/>
      <c r="C389" s="554"/>
      <c r="D389" s="554"/>
      <c r="E389" s="207"/>
      <c r="F389" s="555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spans="1:26" ht="11.25" customHeight="1">
      <c r="A390" s="337"/>
      <c r="B390" s="204"/>
      <c r="C390" s="554"/>
      <c r="D390" s="554"/>
      <c r="E390" s="207"/>
      <c r="F390" s="555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spans="1:26" ht="11.25" customHeight="1">
      <c r="A391" s="337"/>
      <c r="B391" s="204"/>
      <c r="C391" s="554"/>
      <c r="D391" s="554"/>
      <c r="E391" s="207"/>
      <c r="F391" s="555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spans="1:26" ht="11.25" customHeight="1">
      <c r="A392" s="337"/>
      <c r="B392" s="204"/>
      <c r="C392" s="554"/>
      <c r="D392" s="554"/>
      <c r="E392" s="207"/>
      <c r="F392" s="555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spans="1:26" ht="11.25" customHeight="1">
      <c r="A393" s="337"/>
      <c r="B393" s="204"/>
      <c r="C393" s="554"/>
      <c r="D393" s="554"/>
      <c r="E393" s="207"/>
      <c r="F393" s="555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spans="1:26" ht="11.25" customHeight="1">
      <c r="A394" s="337"/>
      <c r="B394" s="204"/>
      <c r="C394" s="554"/>
      <c r="D394" s="554"/>
      <c r="E394" s="207"/>
      <c r="F394" s="555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spans="1:26" ht="11.25" customHeight="1">
      <c r="A395" s="337"/>
      <c r="B395" s="204"/>
      <c r="C395" s="554"/>
      <c r="D395" s="554"/>
      <c r="E395" s="207"/>
      <c r="F395" s="555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spans="1:26" ht="11.25" customHeight="1">
      <c r="A396" s="337"/>
      <c r="B396" s="204"/>
      <c r="C396" s="554"/>
      <c r="D396" s="554"/>
      <c r="E396" s="207"/>
      <c r="F396" s="555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spans="1:26" ht="11.25" customHeight="1">
      <c r="A397" s="337"/>
      <c r="B397" s="204"/>
      <c r="C397" s="554"/>
      <c r="D397" s="554"/>
      <c r="E397" s="207"/>
      <c r="F397" s="555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spans="1:26" ht="11.25" customHeight="1">
      <c r="A398" s="337"/>
      <c r="B398" s="204"/>
      <c r="C398" s="554"/>
      <c r="D398" s="554"/>
      <c r="E398" s="207"/>
      <c r="F398" s="555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spans="1:26" ht="11.25" customHeight="1">
      <c r="A399" s="337"/>
      <c r="B399" s="204"/>
      <c r="C399" s="554"/>
      <c r="D399" s="554"/>
      <c r="E399" s="207"/>
      <c r="F399" s="555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 ht="11.25" customHeight="1">
      <c r="A400" s="337"/>
      <c r="B400" s="204"/>
      <c r="C400" s="554"/>
      <c r="D400" s="554"/>
      <c r="E400" s="207"/>
      <c r="F400" s="555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spans="1:26" ht="11.25" customHeight="1">
      <c r="A401" s="337"/>
      <c r="B401" s="204"/>
      <c r="C401" s="554"/>
      <c r="D401" s="554"/>
      <c r="E401" s="207"/>
      <c r="F401" s="555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spans="1:26" ht="11.25" customHeight="1">
      <c r="A402" s="337"/>
      <c r="B402" s="204"/>
      <c r="C402" s="554"/>
      <c r="D402" s="554"/>
      <c r="E402" s="207"/>
      <c r="F402" s="555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spans="1:26" ht="11.25" customHeight="1">
      <c r="A403" s="337"/>
      <c r="B403" s="204"/>
      <c r="C403" s="554"/>
      <c r="D403" s="554"/>
      <c r="E403" s="207"/>
      <c r="F403" s="555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spans="1:26" ht="11.25" customHeight="1">
      <c r="A404" s="337"/>
      <c r="B404" s="204"/>
      <c r="C404" s="554"/>
      <c r="D404" s="554"/>
      <c r="E404" s="207"/>
      <c r="F404" s="555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spans="1:26" ht="11.25" customHeight="1">
      <c r="A405" s="337"/>
      <c r="B405" s="204"/>
      <c r="C405" s="554"/>
      <c r="D405" s="554"/>
      <c r="E405" s="207"/>
      <c r="F405" s="555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spans="1:26" ht="11.25" customHeight="1">
      <c r="A406" s="337"/>
      <c r="B406" s="204"/>
      <c r="C406" s="554"/>
      <c r="D406" s="554"/>
      <c r="E406" s="207"/>
      <c r="F406" s="555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 ht="11.25" customHeight="1">
      <c r="A407" s="337"/>
      <c r="B407" s="204"/>
      <c r="C407" s="554"/>
      <c r="D407" s="554"/>
      <c r="E407" s="207"/>
      <c r="F407" s="555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spans="1:26" ht="11.25" customHeight="1">
      <c r="A408" s="337"/>
      <c r="B408" s="204"/>
      <c r="C408" s="554"/>
      <c r="D408" s="554"/>
      <c r="E408" s="207"/>
      <c r="F408" s="555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spans="1:26" ht="11.25" customHeight="1">
      <c r="A409" s="337"/>
      <c r="B409" s="204"/>
      <c r="C409" s="554"/>
      <c r="D409" s="554"/>
      <c r="E409" s="207"/>
      <c r="F409" s="555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spans="1:26" ht="11.25" customHeight="1">
      <c r="A410" s="337"/>
      <c r="B410" s="204"/>
      <c r="C410" s="554"/>
      <c r="D410" s="554"/>
      <c r="E410" s="207"/>
      <c r="F410" s="555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spans="1:26" ht="11.25" customHeight="1">
      <c r="A411" s="337"/>
      <c r="B411" s="204"/>
      <c r="C411" s="554"/>
      <c r="D411" s="554"/>
      <c r="E411" s="207"/>
      <c r="F411" s="555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spans="1:26" ht="11.25" customHeight="1">
      <c r="A412" s="337"/>
      <c r="B412" s="204"/>
      <c r="C412" s="554"/>
      <c r="D412" s="554"/>
      <c r="E412" s="207"/>
      <c r="F412" s="555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spans="1:26" ht="11.25" customHeight="1">
      <c r="A413" s="337"/>
      <c r="B413" s="204"/>
      <c r="C413" s="554"/>
      <c r="D413" s="554"/>
      <c r="E413" s="207"/>
      <c r="F413" s="555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spans="1:26" ht="11.25" customHeight="1">
      <c r="A414" s="337"/>
      <c r="B414" s="204"/>
      <c r="C414" s="554"/>
      <c r="D414" s="554"/>
      <c r="E414" s="207"/>
      <c r="F414" s="555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spans="1:26" ht="11.25" customHeight="1">
      <c r="A415" s="337"/>
      <c r="B415" s="204"/>
      <c r="C415" s="554"/>
      <c r="D415" s="554"/>
      <c r="E415" s="207"/>
      <c r="F415" s="555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spans="1:26" ht="11.25" customHeight="1">
      <c r="A416" s="337"/>
      <c r="B416" s="204"/>
      <c r="C416" s="554"/>
      <c r="D416" s="554"/>
      <c r="E416" s="207"/>
      <c r="F416" s="555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spans="1:26" ht="11.25" customHeight="1">
      <c r="A417" s="337"/>
      <c r="B417" s="204"/>
      <c r="C417" s="554"/>
      <c r="D417" s="554"/>
      <c r="E417" s="207"/>
      <c r="F417" s="555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spans="1:26" ht="11.25" customHeight="1">
      <c r="A418" s="337"/>
      <c r="B418" s="204"/>
      <c r="C418" s="554"/>
      <c r="D418" s="554"/>
      <c r="E418" s="207"/>
      <c r="F418" s="555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spans="1:26" ht="11.25" customHeight="1">
      <c r="A419" s="337"/>
      <c r="B419" s="204"/>
      <c r="C419" s="554"/>
      <c r="D419" s="554"/>
      <c r="E419" s="207"/>
      <c r="F419" s="555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spans="1:26" ht="11.25" customHeight="1">
      <c r="A420" s="337"/>
      <c r="B420" s="204"/>
      <c r="C420" s="554"/>
      <c r="D420" s="554"/>
      <c r="E420" s="207"/>
      <c r="F420" s="555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spans="1:26" ht="11.25" customHeight="1">
      <c r="A421" s="337"/>
      <c r="B421" s="204"/>
      <c r="C421" s="554"/>
      <c r="D421" s="554"/>
      <c r="E421" s="207"/>
      <c r="F421" s="555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spans="1:26" ht="11.25" customHeight="1">
      <c r="A422" s="337"/>
      <c r="B422" s="204"/>
      <c r="C422" s="554"/>
      <c r="D422" s="554"/>
      <c r="E422" s="207"/>
      <c r="F422" s="555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spans="1:26" ht="11.25" customHeight="1">
      <c r="A423" s="337"/>
      <c r="B423" s="204"/>
      <c r="C423" s="554"/>
      <c r="D423" s="554"/>
      <c r="E423" s="207"/>
      <c r="F423" s="555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spans="1:26" ht="11.25" customHeight="1">
      <c r="A424" s="337"/>
      <c r="B424" s="204"/>
      <c r="C424" s="554"/>
      <c r="D424" s="554"/>
      <c r="E424" s="207"/>
      <c r="F424" s="555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spans="1:26" ht="11.25" customHeight="1">
      <c r="A425" s="337"/>
      <c r="B425" s="204"/>
      <c r="C425" s="554"/>
      <c r="D425" s="554"/>
      <c r="E425" s="207"/>
      <c r="F425" s="555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spans="1:26" ht="11.25" customHeight="1">
      <c r="A426" s="337"/>
      <c r="B426" s="204"/>
      <c r="C426" s="554"/>
      <c r="D426" s="554"/>
      <c r="E426" s="207"/>
      <c r="F426" s="555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spans="1:26" ht="11.25" customHeight="1">
      <c r="A427" s="337"/>
      <c r="B427" s="204"/>
      <c r="C427" s="554"/>
      <c r="D427" s="554"/>
      <c r="E427" s="207"/>
      <c r="F427" s="555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spans="1:26" ht="11.25" customHeight="1">
      <c r="A428" s="337"/>
      <c r="B428" s="204"/>
      <c r="C428" s="554"/>
      <c r="D428" s="554"/>
      <c r="E428" s="207"/>
      <c r="F428" s="555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spans="1:26" ht="11.25" customHeight="1">
      <c r="A429" s="337"/>
      <c r="B429" s="204"/>
      <c r="C429" s="554"/>
      <c r="D429" s="554"/>
      <c r="E429" s="207"/>
      <c r="F429" s="555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spans="1:26" ht="11.25" customHeight="1">
      <c r="A430" s="337"/>
      <c r="B430" s="204"/>
      <c r="C430" s="554"/>
      <c r="D430" s="554"/>
      <c r="E430" s="207"/>
      <c r="F430" s="555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spans="1:26" ht="11.25" customHeight="1">
      <c r="A431" s="337"/>
      <c r="B431" s="204"/>
      <c r="C431" s="554"/>
      <c r="D431" s="554"/>
      <c r="E431" s="207"/>
      <c r="F431" s="555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spans="1:26" ht="11.25" customHeight="1">
      <c r="A432" s="337"/>
      <c r="B432" s="204"/>
      <c r="C432" s="554"/>
      <c r="D432" s="554"/>
      <c r="E432" s="207"/>
      <c r="F432" s="555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spans="1:26" ht="11.25" customHeight="1">
      <c r="A433" s="337"/>
      <c r="B433" s="204"/>
      <c r="C433" s="554"/>
      <c r="D433" s="554"/>
      <c r="E433" s="207"/>
      <c r="F433" s="555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spans="1:26" ht="11.25" customHeight="1">
      <c r="A434" s="337"/>
      <c r="B434" s="204"/>
      <c r="C434" s="554"/>
      <c r="D434" s="554"/>
      <c r="E434" s="207"/>
      <c r="F434" s="555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spans="1:26" ht="11.25" customHeight="1">
      <c r="A435" s="337"/>
      <c r="B435" s="204"/>
      <c r="C435" s="554"/>
      <c r="D435" s="554"/>
      <c r="E435" s="207"/>
      <c r="F435" s="555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spans="1:26" ht="11.25" customHeight="1">
      <c r="A436" s="337"/>
      <c r="B436" s="204"/>
      <c r="C436" s="554"/>
      <c r="D436" s="554"/>
      <c r="E436" s="207"/>
      <c r="F436" s="555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spans="1:26" ht="11.25" customHeight="1">
      <c r="A437" s="337"/>
      <c r="B437" s="204"/>
      <c r="C437" s="554"/>
      <c r="D437" s="554"/>
      <c r="E437" s="207"/>
      <c r="F437" s="555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spans="1:26" ht="11.25" customHeight="1">
      <c r="A438" s="337"/>
      <c r="B438" s="204"/>
      <c r="C438" s="554"/>
      <c r="D438" s="554"/>
      <c r="E438" s="207"/>
      <c r="F438" s="555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spans="1:26" ht="11.25" customHeight="1">
      <c r="A439" s="337"/>
      <c r="B439" s="204"/>
      <c r="C439" s="554"/>
      <c r="D439" s="554"/>
      <c r="E439" s="207"/>
      <c r="F439" s="555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spans="1:26" ht="11.25" customHeight="1">
      <c r="A440" s="337"/>
      <c r="B440" s="204"/>
      <c r="C440" s="554"/>
      <c r="D440" s="554"/>
      <c r="E440" s="207"/>
      <c r="F440" s="555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spans="1:26" ht="11.25" customHeight="1">
      <c r="A441" s="337"/>
      <c r="B441" s="204"/>
      <c r="C441" s="554"/>
      <c r="D441" s="554"/>
      <c r="E441" s="207"/>
      <c r="F441" s="555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spans="1:26" ht="11.25" customHeight="1">
      <c r="A442" s="337"/>
      <c r="B442" s="204"/>
      <c r="C442" s="554"/>
      <c r="D442" s="554"/>
      <c r="E442" s="207"/>
      <c r="F442" s="555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spans="1:26" ht="11.25" customHeight="1">
      <c r="A443" s="337"/>
      <c r="B443" s="204"/>
      <c r="C443" s="554"/>
      <c r="D443" s="554"/>
      <c r="E443" s="207"/>
      <c r="F443" s="555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spans="1:26" ht="11.25" customHeight="1">
      <c r="A444" s="337"/>
      <c r="B444" s="204"/>
      <c r="C444" s="554"/>
      <c r="D444" s="554"/>
      <c r="E444" s="207"/>
      <c r="F444" s="555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spans="1:26" ht="11.25" customHeight="1">
      <c r="A445" s="337"/>
      <c r="B445" s="204"/>
      <c r="C445" s="554"/>
      <c r="D445" s="554"/>
      <c r="E445" s="207"/>
      <c r="F445" s="555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spans="1:26" ht="11.25" customHeight="1">
      <c r="A446" s="337"/>
      <c r="B446" s="204"/>
      <c r="C446" s="554"/>
      <c r="D446" s="554"/>
      <c r="E446" s="207"/>
      <c r="F446" s="555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spans="1:26" ht="11.25" customHeight="1">
      <c r="A447" s="337"/>
      <c r="B447" s="204"/>
      <c r="C447" s="554"/>
      <c r="D447" s="554"/>
      <c r="E447" s="207"/>
      <c r="F447" s="555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spans="1:26" ht="11.25" customHeight="1">
      <c r="A448" s="337"/>
      <c r="B448" s="204"/>
      <c r="C448" s="554"/>
      <c r="D448" s="554"/>
      <c r="E448" s="207"/>
      <c r="F448" s="555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spans="1:26" ht="11.25" customHeight="1">
      <c r="A449" s="337"/>
      <c r="B449" s="204"/>
      <c r="C449" s="554"/>
      <c r="D449" s="554"/>
      <c r="E449" s="207"/>
      <c r="F449" s="555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spans="1:26" ht="11.25" customHeight="1">
      <c r="A450" s="337"/>
      <c r="B450" s="204"/>
      <c r="C450" s="554"/>
      <c r="D450" s="554"/>
      <c r="E450" s="207"/>
      <c r="F450" s="555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spans="1:26" ht="11.25" customHeight="1">
      <c r="A451" s="337"/>
      <c r="B451" s="204"/>
      <c r="C451" s="554"/>
      <c r="D451" s="554"/>
      <c r="E451" s="207"/>
      <c r="F451" s="555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spans="1:26" ht="11.25" customHeight="1">
      <c r="A452" s="337"/>
      <c r="B452" s="204"/>
      <c r="C452" s="554"/>
      <c r="D452" s="554"/>
      <c r="E452" s="207"/>
      <c r="F452" s="555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spans="1:26" ht="11.25" customHeight="1">
      <c r="A453" s="337"/>
      <c r="B453" s="204"/>
      <c r="C453" s="554"/>
      <c r="D453" s="554"/>
      <c r="E453" s="207"/>
      <c r="F453" s="555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spans="1:26" ht="11.25" customHeight="1">
      <c r="A454" s="337"/>
      <c r="B454" s="204"/>
      <c r="C454" s="554"/>
      <c r="D454" s="554"/>
      <c r="E454" s="207"/>
      <c r="F454" s="555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spans="1:26" ht="11.25" customHeight="1">
      <c r="A455" s="337"/>
      <c r="B455" s="204"/>
      <c r="C455" s="554"/>
      <c r="D455" s="554"/>
      <c r="E455" s="207"/>
      <c r="F455" s="555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spans="1:26" ht="11.25" customHeight="1">
      <c r="A456" s="337"/>
      <c r="B456" s="204"/>
      <c r="C456" s="554"/>
      <c r="D456" s="554"/>
      <c r="E456" s="207"/>
      <c r="F456" s="555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spans="1:26" ht="11.25" customHeight="1">
      <c r="A457" s="337"/>
      <c r="B457" s="204"/>
      <c r="C457" s="554"/>
      <c r="D457" s="554"/>
      <c r="E457" s="207"/>
      <c r="F457" s="555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spans="1:26" ht="11.25" customHeight="1">
      <c r="A458" s="337"/>
      <c r="B458" s="204"/>
      <c r="C458" s="554"/>
      <c r="D458" s="554"/>
      <c r="E458" s="207"/>
      <c r="F458" s="555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spans="1:26" ht="11.25" customHeight="1">
      <c r="A459" s="337"/>
      <c r="B459" s="204"/>
      <c r="C459" s="554"/>
      <c r="D459" s="554"/>
      <c r="E459" s="207"/>
      <c r="F459" s="555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spans="1:26" ht="11.25" customHeight="1">
      <c r="A460" s="337"/>
      <c r="B460" s="204"/>
      <c r="C460" s="554"/>
      <c r="D460" s="554"/>
      <c r="E460" s="207"/>
      <c r="F460" s="555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spans="1:26" ht="11.25" customHeight="1">
      <c r="A461" s="337"/>
      <c r="B461" s="204"/>
      <c r="C461" s="554"/>
      <c r="D461" s="554"/>
      <c r="E461" s="207"/>
      <c r="F461" s="555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spans="1:26" ht="11.25" customHeight="1">
      <c r="A462" s="337"/>
      <c r="B462" s="204"/>
      <c r="C462" s="554"/>
      <c r="D462" s="554"/>
      <c r="E462" s="207"/>
      <c r="F462" s="555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spans="1:26" ht="11.25" customHeight="1">
      <c r="A463" s="337"/>
      <c r="B463" s="204"/>
      <c r="C463" s="554"/>
      <c r="D463" s="554"/>
      <c r="E463" s="207"/>
      <c r="F463" s="555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spans="1:26" ht="11.25" customHeight="1">
      <c r="A464" s="337"/>
      <c r="B464" s="204"/>
      <c r="C464" s="554"/>
      <c r="D464" s="554"/>
      <c r="E464" s="207"/>
      <c r="F464" s="555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spans="1:26" ht="11.25" customHeight="1">
      <c r="A465" s="337"/>
      <c r="B465" s="204"/>
      <c r="C465" s="554"/>
      <c r="D465" s="554"/>
      <c r="E465" s="207"/>
      <c r="F465" s="555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spans="1:26" ht="11.25" customHeight="1">
      <c r="A466" s="337"/>
      <c r="B466" s="204"/>
      <c r="C466" s="554"/>
      <c r="D466" s="554"/>
      <c r="E466" s="207"/>
      <c r="F466" s="555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spans="1:26" ht="11.25" customHeight="1">
      <c r="A467" s="337"/>
      <c r="B467" s="204"/>
      <c r="C467" s="554"/>
      <c r="D467" s="554"/>
      <c r="E467" s="207"/>
      <c r="F467" s="555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spans="1:26" ht="11.25" customHeight="1">
      <c r="A468" s="337"/>
      <c r="B468" s="204"/>
      <c r="C468" s="554"/>
      <c r="D468" s="554"/>
      <c r="E468" s="207"/>
      <c r="F468" s="555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spans="1:26" ht="11.25" customHeight="1">
      <c r="A469" s="337"/>
      <c r="B469" s="204"/>
      <c r="C469" s="554"/>
      <c r="D469" s="554"/>
      <c r="E469" s="207"/>
      <c r="F469" s="555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spans="1:26" ht="11.25" customHeight="1">
      <c r="A470" s="337"/>
      <c r="B470" s="204"/>
      <c r="C470" s="554"/>
      <c r="D470" s="554"/>
      <c r="E470" s="207"/>
      <c r="F470" s="555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spans="1:26" ht="11.25" customHeight="1">
      <c r="A471" s="337"/>
      <c r="B471" s="204"/>
      <c r="C471" s="554"/>
      <c r="D471" s="554"/>
      <c r="E471" s="207"/>
      <c r="F471" s="555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spans="1:26" ht="11.25" customHeight="1">
      <c r="A472" s="337"/>
      <c r="B472" s="204"/>
      <c r="C472" s="554"/>
      <c r="D472" s="554"/>
      <c r="E472" s="207"/>
      <c r="F472" s="555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spans="1:26" ht="11.25" customHeight="1">
      <c r="A473" s="337"/>
      <c r="B473" s="204"/>
      <c r="C473" s="554"/>
      <c r="D473" s="554"/>
      <c r="E473" s="207"/>
      <c r="F473" s="555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spans="1:26" ht="11.25" customHeight="1">
      <c r="A474" s="337"/>
      <c r="B474" s="204"/>
      <c r="C474" s="554"/>
      <c r="D474" s="554"/>
      <c r="E474" s="207"/>
      <c r="F474" s="555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spans="1:26" ht="11.25" customHeight="1">
      <c r="A475" s="337"/>
      <c r="B475" s="204"/>
      <c r="C475" s="554"/>
      <c r="D475" s="554"/>
      <c r="E475" s="207"/>
      <c r="F475" s="555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spans="1:26" ht="11.25" customHeight="1">
      <c r="A476" s="337"/>
      <c r="B476" s="204"/>
      <c r="C476" s="554"/>
      <c r="D476" s="554"/>
      <c r="E476" s="207"/>
      <c r="F476" s="555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spans="1:26" ht="11.25" customHeight="1">
      <c r="A477" s="337"/>
      <c r="B477" s="204"/>
      <c r="C477" s="554"/>
      <c r="D477" s="554"/>
      <c r="E477" s="207"/>
      <c r="F477" s="555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spans="1:26" ht="11.25" customHeight="1">
      <c r="A478" s="337"/>
      <c r="B478" s="204"/>
      <c r="C478" s="554"/>
      <c r="D478" s="554"/>
      <c r="E478" s="207"/>
      <c r="F478" s="555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spans="1:26" ht="11.25" customHeight="1">
      <c r="A479" s="337"/>
      <c r="B479" s="204"/>
      <c r="C479" s="554"/>
      <c r="D479" s="554"/>
      <c r="E479" s="207"/>
      <c r="F479" s="555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spans="1:26" ht="11.25" customHeight="1">
      <c r="A480" s="337"/>
      <c r="B480" s="204"/>
      <c r="C480" s="554"/>
      <c r="D480" s="554"/>
      <c r="E480" s="207"/>
      <c r="F480" s="555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spans="1:26" ht="11.25" customHeight="1">
      <c r="A481" s="337"/>
      <c r="B481" s="204"/>
      <c r="C481" s="554"/>
      <c r="D481" s="554"/>
      <c r="E481" s="207"/>
      <c r="F481" s="555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spans="1:26" ht="11.25" customHeight="1">
      <c r="A482" s="337"/>
      <c r="B482" s="204"/>
      <c r="C482" s="554"/>
      <c r="D482" s="554"/>
      <c r="E482" s="207"/>
      <c r="F482" s="555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spans="1:26" ht="11.25" customHeight="1">
      <c r="A483" s="337"/>
      <c r="B483" s="204"/>
      <c r="C483" s="554"/>
      <c r="D483" s="554"/>
      <c r="E483" s="207"/>
      <c r="F483" s="555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spans="1:26" ht="11.25" customHeight="1">
      <c r="A484" s="337"/>
      <c r="B484" s="204"/>
      <c r="C484" s="554"/>
      <c r="D484" s="554"/>
      <c r="E484" s="207"/>
      <c r="F484" s="555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spans="1:26" ht="11.25" customHeight="1">
      <c r="A485" s="337"/>
      <c r="B485" s="204"/>
      <c r="C485" s="554"/>
      <c r="D485" s="554"/>
      <c r="E485" s="207"/>
      <c r="F485" s="555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spans="1:26" ht="11.25" customHeight="1">
      <c r="A486" s="337"/>
      <c r="B486" s="204"/>
      <c r="C486" s="554"/>
      <c r="D486" s="554"/>
      <c r="E486" s="207"/>
      <c r="F486" s="555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spans="1:26" ht="11.25" customHeight="1">
      <c r="A487" s="337"/>
      <c r="B487" s="204"/>
      <c r="C487" s="554"/>
      <c r="D487" s="554"/>
      <c r="E487" s="207"/>
      <c r="F487" s="555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spans="1:26" ht="11.25" customHeight="1">
      <c r="A488" s="337"/>
      <c r="B488" s="204"/>
      <c r="C488" s="554"/>
      <c r="D488" s="554"/>
      <c r="E488" s="207"/>
      <c r="F488" s="555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spans="1:26" ht="11.25" customHeight="1">
      <c r="A489" s="337"/>
      <c r="B489" s="204"/>
      <c r="C489" s="554"/>
      <c r="D489" s="554"/>
      <c r="E489" s="207"/>
      <c r="F489" s="555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spans="1:26" ht="11.25" customHeight="1">
      <c r="A490" s="337"/>
      <c r="B490" s="204"/>
      <c r="C490" s="554"/>
      <c r="D490" s="554"/>
      <c r="E490" s="207"/>
      <c r="F490" s="555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spans="1:26" ht="11.25" customHeight="1">
      <c r="A491" s="337"/>
      <c r="B491" s="204"/>
      <c r="C491" s="554"/>
      <c r="D491" s="554"/>
      <c r="E491" s="207"/>
      <c r="F491" s="555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spans="1:26" ht="11.25" customHeight="1">
      <c r="A492" s="337"/>
      <c r="B492" s="204"/>
      <c r="C492" s="554"/>
      <c r="D492" s="554"/>
      <c r="E492" s="207"/>
      <c r="F492" s="555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spans="1:26" ht="11.25" customHeight="1">
      <c r="A493" s="337"/>
      <c r="B493" s="204"/>
      <c r="C493" s="554"/>
      <c r="D493" s="554"/>
      <c r="E493" s="207"/>
      <c r="F493" s="555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spans="1:26" ht="11.25" customHeight="1">
      <c r="A494" s="337"/>
      <c r="B494" s="204"/>
      <c r="C494" s="554"/>
      <c r="D494" s="554"/>
      <c r="E494" s="207"/>
      <c r="F494" s="555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spans="1:26" ht="11.25" customHeight="1">
      <c r="A495" s="337"/>
      <c r="B495" s="204"/>
      <c r="C495" s="554"/>
      <c r="D495" s="554"/>
      <c r="E495" s="207"/>
      <c r="F495" s="555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spans="1:26" ht="11.25" customHeight="1">
      <c r="A496" s="337"/>
      <c r="B496" s="204"/>
      <c r="C496" s="554"/>
      <c r="D496" s="554"/>
      <c r="E496" s="207"/>
      <c r="F496" s="555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spans="1:26" ht="11.25" customHeight="1">
      <c r="A497" s="337"/>
      <c r="B497" s="204"/>
      <c r="C497" s="554"/>
      <c r="D497" s="554"/>
      <c r="E497" s="207"/>
      <c r="F497" s="555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spans="1:26" ht="11.25" customHeight="1">
      <c r="A498" s="337"/>
      <c r="B498" s="204"/>
      <c r="C498" s="554"/>
      <c r="D498" s="554"/>
      <c r="E498" s="207"/>
      <c r="F498" s="555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spans="1:26" ht="11.25" customHeight="1">
      <c r="A499" s="337"/>
      <c r="B499" s="204"/>
      <c r="C499" s="554"/>
      <c r="D499" s="554"/>
      <c r="E499" s="207"/>
      <c r="F499" s="555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spans="1:26" ht="11.25" customHeight="1">
      <c r="A500" s="337"/>
      <c r="B500" s="204"/>
      <c r="C500" s="554"/>
      <c r="D500" s="554"/>
      <c r="E500" s="207"/>
      <c r="F500" s="555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spans="1:26" ht="11.25" customHeight="1">
      <c r="A501" s="337"/>
      <c r="B501" s="204"/>
      <c r="C501" s="554"/>
      <c r="D501" s="554"/>
      <c r="E501" s="207"/>
      <c r="F501" s="555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spans="1:26" ht="11.25" customHeight="1">
      <c r="A502" s="337"/>
      <c r="B502" s="204"/>
      <c r="C502" s="554"/>
      <c r="D502" s="554"/>
      <c r="E502" s="207"/>
      <c r="F502" s="555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spans="1:26" ht="11.25" customHeight="1">
      <c r="A503" s="337"/>
      <c r="B503" s="204"/>
      <c r="C503" s="554"/>
      <c r="D503" s="554"/>
      <c r="E503" s="207"/>
      <c r="F503" s="555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spans="1:26" ht="11.25" customHeight="1">
      <c r="A504" s="337"/>
      <c r="B504" s="204"/>
      <c r="C504" s="554"/>
      <c r="D504" s="554"/>
      <c r="E504" s="207"/>
      <c r="F504" s="555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spans="1:26" ht="11.25" customHeight="1">
      <c r="A505" s="337"/>
      <c r="B505" s="204"/>
      <c r="C505" s="554"/>
      <c r="D505" s="554"/>
      <c r="E505" s="207"/>
      <c r="F505" s="555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spans="1:26" ht="11.25" customHeight="1">
      <c r="A506" s="337"/>
      <c r="B506" s="204"/>
      <c r="C506" s="554"/>
      <c r="D506" s="554"/>
      <c r="E506" s="207"/>
      <c r="F506" s="555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spans="1:26" ht="11.25" customHeight="1">
      <c r="A507" s="337"/>
      <c r="B507" s="204"/>
      <c r="C507" s="554"/>
      <c r="D507" s="554"/>
      <c r="E507" s="207"/>
      <c r="F507" s="555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spans="1:26" ht="11.25" customHeight="1">
      <c r="A508" s="337"/>
      <c r="B508" s="204"/>
      <c r="C508" s="554"/>
      <c r="D508" s="554"/>
      <c r="E508" s="207"/>
      <c r="F508" s="555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spans="1:26" ht="11.25" customHeight="1">
      <c r="A509" s="337"/>
      <c r="B509" s="204"/>
      <c r="C509" s="554"/>
      <c r="D509" s="554"/>
      <c r="E509" s="207"/>
      <c r="F509" s="555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spans="1:26" ht="11.25" customHeight="1">
      <c r="A510" s="337"/>
      <c r="B510" s="204"/>
      <c r="C510" s="554"/>
      <c r="D510" s="554"/>
      <c r="E510" s="207"/>
      <c r="F510" s="555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spans="1:26" ht="11.25" customHeight="1">
      <c r="A511" s="337"/>
      <c r="B511" s="204"/>
      <c r="C511" s="554"/>
      <c r="D511" s="554"/>
      <c r="E511" s="207"/>
      <c r="F511" s="555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spans="1:26" ht="11.25" customHeight="1">
      <c r="A512" s="337"/>
      <c r="B512" s="204"/>
      <c r="C512" s="554"/>
      <c r="D512" s="554"/>
      <c r="E512" s="207"/>
      <c r="F512" s="555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spans="1:26" ht="11.25" customHeight="1">
      <c r="A513" s="337"/>
      <c r="B513" s="204"/>
      <c r="C513" s="554"/>
      <c r="D513" s="554"/>
      <c r="E513" s="207"/>
      <c r="F513" s="555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spans="1:26" ht="11.25" customHeight="1">
      <c r="A514" s="337"/>
      <c r="B514" s="204"/>
      <c r="C514" s="554"/>
      <c r="D514" s="554"/>
      <c r="E514" s="207"/>
      <c r="F514" s="555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spans="1:26" ht="11.25" customHeight="1">
      <c r="A515" s="337"/>
      <c r="B515" s="204"/>
      <c r="C515" s="554"/>
      <c r="D515" s="554"/>
      <c r="E515" s="207"/>
      <c r="F515" s="555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spans="1:26" ht="11.25" customHeight="1">
      <c r="A516" s="337"/>
      <c r="B516" s="204"/>
      <c r="C516" s="554"/>
      <c r="D516" s="554"/>
      <c r="E516" s="207"/>
      <c r="F516" s="555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spans="1:26" ht="11.25" customHeight="1">
      <c r="A517" s="337"/>
      <c r="B517" s="204"/>
      <c r="C517" s="554"/>
      <c r="D517" s="554"/>
      <c r="E517" s="207"/>
      <c r="F517" s="555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spans="1:26" ht="11.25" customHeight="1">
      <c r="A518" s="337"/>
      <c r="B518" s="204"/>
      <c r="C518" s="554"/>
      <c r="D518" s="554"/>
      <c r="E518" s="207"/>
      <c r="F518" s="555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spans="1:26" ht="11.25" customHeight="1">
      <c r="A519" s="337"/>
      <c r="B519" s="204"/>
      <c r="C519" s="554"/>
      <c r="D519" s="554"/>
      <c r="E519" s="207"/>
      <c r="F519" s="555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spans="1:26" ht="11.25" customHeight="1">
      <c r="A520" s="337"/>
      <c r="B520" s="204"/>
      <c r="C520" s="554"/>
      <c r="D520" s="554"/>
      <c r="E520" s="207"/>
      <c r="F520" s="555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spans="1:26" ht="11.25" customHeight="1">
      <c r="A521" s="337"/>
      <c r="B521" s="204"/>
      <c r="C521" s="554"/>
      <c r="D521" s="554"/>
      <c r="E521" s="207"/>
      <c r="F521" s="555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spans="1:26" ht="11.25" customHeight="1">
      <c r="A522" s="337"/>
      <c r="B522" s="204"/>
      <c r="C522" s="554"/>
      <c r="D522" s="554"/>
      <c r="E522" s="207"/>
      <c r="F522" s="555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spans="1:26" ht="11.25" customHeight="1">
      <c r="A523" s="337"/>
      <c r="B523" s="204"/>
      <c r="C523" s="554"/>
      <c r="D523" s="554"/>
      <c r="E523" s="207"/>
      <c r="F523" s="555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spans="1:26" ht="11.25" customHeight="1">
      <c r="A524" s="337"/>
      <c r="B524" s="204"/>
      <c r="C524" s="554"/>
      <c r="D524" s="554"/>
      <c r="E524" s="207"/>
      <c r="F524" s="555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spans="1:26" ht="11.25" customHeight="1">
      <c r="A525" s="337"/>
      <c r="B525" s="204"/>
      <c r="C525" s="554"/>
      <c r="D525" s="554"/>
      <c r="E525" s="207"/>
      <c r="F525" s="555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spans="1:26" ht="11.25" customHeight="1">
      <c r="A526" s="337"/>
      <c r="B526" s="204"/>
      <c r="C526" s="554"/>
      <c r="D526" s="554"/>
      <c r="E526" s="207"/>
      <c r="F526" s="555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spans="1:26" ht="11.25" customHeight="1">
      <c r="A527" s="337"/>
      <c r="B527" s="204"/>
      <c r="C527" s="554"/>
      <c r="D527" s="554"/>
      <c r="E527" s="207"/>
      <c r="F527" s="555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spans="1:26" ht="11.25" customHeight="1">
      <c r="A528" s="337"/>
      <c r="B528" s="204"/>
      <c r="C528" s="554"/>
      <c r="D528" s="554"/>
      <c r="E528" s="207"/>
      <c r="F528" s="555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spans="1:26" ht="11.25" customHeight="1">
      <c r="A529" s="337"/>
      <c r="B529" s="204"/>
      <c r="C529" s="554"/>
      <c r="D529" s="554"/>
      <c r="E529" s="207"/>
      <c r="F529" s="555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spans="1:26" ht="11.25" customHeight="1">
      <c r="A530" s="337"/>
      <c r="B530" s="204"/>
      <c r="C530" s="554"/>
      <c r="D530" s="554"/>
      <c r="E530" s="207"/>
      <c r="F530" s="555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spans="1:26" ht="11.25" customHeight="1">
      <c r="A531" s="337"/>
      <c r="B531" s="204"/>
      <c r="C531" s="554"/>
      <c r="D531" s="554"/>
      <c r="E531" s="207"/>
      <c r="F531" s="555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spans="1:26" ht="11.25" customHeight="1">
      <c r="A532" s="337"/>
      <c r="B532" s="204"/>
      <c r="C532" s="554"/>
      <c r="D532" s="554"/>
      <c r="E532" s="207"/>
      <c r="F532" s="555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spans="1:26" ht="11.25" customHeight="1">
      <c r="A533" s="337"/>
      <c r="B533" s="204"/>
      <c r="C533" s="554"/>
      <c r="D533" s="554"/>
      <c r="E533" s="207"/>
      <c r="F533" s="555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spans="1:26" ht="11.25" customHeight="1">
      <c r="A534" s="337"/>
      <c r="B534" s="204"/>
      <c r="C534" s="554"/>
      <c r="D534" s="554"/>
      <c r="E534" s="207"/>
      <c r="F534" s="555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spans="1:26" ht="11.25" customHeight="1">
      <c r="A535" s="337"/>
      <c r="B535" s="204"/>
      <c r="C535" s="554"/>
      <c r="D535" s="554"/>
      <c r="E535" s="207"/>
      <c r="F535" s="555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spans="1:26" ht="11.25" customHeight="1">
      <c r="A536" s="337"/>
      <c r="B536" s="204"/>
      <c r="C536" s="554"/>
      <c r="D536" s="554"/>
      <c r="E536" s="207"/>
      <c r="F536" s="555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spans="1:26" ht="11.25" customHeight="1">
      <c r="A537" s="337"/>
      <c r="B537" s="204"/>
      <c r="C537" s="554"/>
      <c r="D537" s="554"/>
      <c r="E537" s="207"/>
      <c r="F537" s="555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spans="1:26" ht="11.25" customHeight="1">
      <c r="A538" s="337"/>
      <c r="B538" s="204"/>
      <c r="C538" s="554"/>
      <c r="D538" s="554"/>
      <c r="E538" s="207"/>
      <c r="F538" s="555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spans="1:26" ht="11.25" customHeight="1">
      <c r="A539" s="337"/>
      <c r="B539" s="204"/>
      <c r="C539" s="554"/>
      <c r="D539" s="554"/>
      <c r="E539" s="207"/>
      <c r="F539" s="555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spans="1:26" ht="11.25" customHeight="1">
      <c r="A540" s="337"/>
      <c r="B540" s="204"/>
      <c r="C540" s="554"/>
      <c r="D540" s="554"/>
      <c r="E540" s="207"/>
      <c r="F540" s="555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spans="1:26" ht="11.25" customHeight="1">
      <c r="A541" s="337"/>
      <c r="B541" s="204"/>
      <c r="C541" s="554"/>
      <c r="D541" s="554"/>
      <c r="E541" s="207"/>
      <c r="F541" s="555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spans="1:26" ht="11.25" customHeight="1">
      <c r="A542" s="337"/>
      <c r="B542" s="204"/>
      <c r="C542" s="554"/>
      <c r="D542" s="554"/>
      <c r="E542" s="207"/>
      <c r="F542" s="555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spans="1:26" ht="11.25" customHeight="1">
      <c r="A543" s="337"/>
      <c r="B543" s="204"/>
      <c r="C543" s="554"/>
      <c r="D543" s="554"/>
      <c r="E543" s="207"/>
      <c r="F543" s="555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spans="1:26" ht="11.25" customHeight="1">
      <c r="A544" s="337"/>
      <c r="B544" s="204"/>
      <c r="C544" s="554"/>
      <c r="D544" s="554"/>
      <c r="E544" s="207"/>
      <c r="F544" s="555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spans="1:26" ht="11.25" customHeight="1">
      <c r="A545" s="337"/>
      <c r="B545" s="204"/>
      <c r="C545" s="554"/>
      <c r="D545" s="554"/>
      <c r="E545" s="207"/>
      <c r="F545" s="555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spans="1:26" ht="11.25" customHeight="1">
      <c r="A546" s="337"/>
      <c r="B546" s="204"/>
      <c r="C546" s="554"/>
      <c r="D546" s="554"/>
      <c r="E546" s="207"/>
      <c r="F546" s="555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spans="1:26" ht="11.25" customHeight="1">
      <c r="A547" s="337"/>
      <c r="B547" s="204"/>
      <c r="C547" s="554"/>
      <c r="D547" s="554"/>
      <c r="E547" s="207"/>
      <c r="F547" s="555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spans="1:26" ht="11.25" customHeight="1">
      <c r="A548" s="337"/>
      <c r="B548" s="204"/>
      <c r="C548" s="554"/>
      <c r="D548" s="554"/>
      <c r="E548" s="207"/>
      <c r="F548" s="555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spans="1:26" ht="11.25" customHeight="1">
      <c r="A549" s="337"/>
      <c r="B549" s="204"/>
      <c r="C549" s="554"/>
      <c r="D549" s="554"/>
      <c r="E549" s="207"/>
      <c r="F549" s="555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spans="1:26" ht="11.25" customHeight="1">
      <c r="A550" s="337"/>
      <c r="B550" s="204"/>
      <c r="C550" s="554"/>
      <c r="D550" s="554"/>
      <c r="E550" s="207"/>
      <c r="F550" s="555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spans="1:26" ht="11.25" customHeight="1">
      <c r="A551" s="337"/>
      <c r="B551" s="204"/>
      <c r="C551" s="554"/>
      <c r="D551" s="554"/>
      <c r="E551" s="207"/>
      <c r="F551" s="555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spans="1:26" ht="11.25" customHeight="1">
      <c r="A552" s="337"/>
      <c r="B552" s="204"/>
      <c r="C552" s="554"/>
      <c r="D552" s="554"/>
      <c r="E552" s="207"/>
      <c r="F552" s="555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spans="1:26" ht="11.25" customHeight="1">
      <c r="A553" s="337"/>
      <c r="B553" s="204"/>
      <c r="C553" s="554"/>
      <c r="D553" s="554"/>
      <c r="E553" s="207"/>
      <c r="F553" s="555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spans="1:26" ht="11.25" customHeight="1">
      <c r="A554" s="337"/>
      <c r="B554" s="204"/>
      <c r="C554" s="554"/>
      <c r="D554" s="554"/>
      <c r="E554" s="207"/>
      <c r="F554" s="555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spans="1:26" ht="11.25" customHeight="1">
      <c r="A555" s="337"/>
      <c r="B555" s="204"/>
      <c r="C555" s="554"/>
      <c r="D555" s="554"/>
      <c r="E555" s="207"/>
      <c r="F555" s="555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spans="1:26" ht="11.25" customHeight="1">
      <c r="A556" s="337"/>
      <c r="B556" s="204"/>
      <c r="C556" s="554"/>
      <c r="D556" s="554"/>
      <c r="E556" s="207"/>
      <c r="F556" s="555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spans="1:26" ht="11.25" customHeight="1">
      <c r="A557" s="337"/>
      <c r="B557" s="204"/>
      <c r="C557" s="554"/>
      <c r="D557" s="554"/>
      <c r="E557" s="207"/>
      <c r="F557" s="555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spans="1:26" ht="11.25" customHeight="1">
      <c r="A558" s="337"/>
      <c r="B558" s="204"/>
      <c r="C558" s="554"/>
      <c r="D558" s="554"/>
      <c r="E558" s="207"/>
      <c r="F558" s="555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spans="1:26" ht="11.25" customHeight="1">
      <c r="A559" s="337"/>
      <c r="B559" s="204"/>
      <c r="C559" s="554"/>
      <c r="D559" s="554"/>
      <c r="E559" s="207"/>
      <c r="F559" s="555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spans="1:26" ht="11.25" customHeight="1">
      <c r="A560" s="337"/>
      <c r="B560" s="204"/>
      <c r="C560" s="554"/>
      <c r="D560" s="554"/>
      <c r="E560" s="207"/>
      <c r="F560" s="555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spans="1:26" ht="11.25" customHeight="1">
      <c r="A561" s="337"/>
      <c r="B561" s="204"/>
      <c r="C561" s="554"/>
      <c r="D561" s="554"/>
      <c r="E561" s="207"/>
      <c r="F561" s="555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spans="1:26" ht="11.25" customHeight="1">
      <c r="A562" s="337"/>
      <c r="B562" s="204"/>
      <c r="C562" s="554"/>
      <c r="D562" s="554"/>
      <c r="E562" s="207"/>
      <c r="F562" s="555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spans="1:26" ht="11.25" customHeight="1">
      <c r="A563" s="337"/>
      <c r="B563" s="204"/>
      <c r="C563" s="554"/>
      <c r="D563" s="554"/>
      <c r="E563" s="207"/>
      <c r="F563" s="555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spans="1:26" ht="11.25" customHeight="1">
      <c r="A564" s="337"/>
      <c r="B564" s="204"/>
      <c r="C564" s="554"/>
      <c r="D564" s="554"/>
      <c r="E564" s="207"/>
      <c r="F564" s="555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spans="1:26" ht="11.25" customHeight="1">
      <c r="A565" s="337"/>
      <c r="B565" s="204"/>
      <c r="C565" s="554"/>
      <c r="D565" s="554"/>
      <c r="E565" s="207"/>
      <c r="F565" s="555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spans="1:26" ht="11.25" customHeight="1">
      <c r="A566" s="337"/>
      <c r="B566" s="204"/>
      <c r="C566" s="554"/>
      <c r="D566" s="554"/>
      <c r="E566" s="207"/>
      <c r="F566" s="555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spans="1:26" ht="11.25" customHeight="1">
      <c r="A567" s="337"/>
      <c r="B567" s="204"/>
      <c r="C567" s="554"/>
      <c r="D567" s="554"/>
      <c r="E567" s="207"/>
      <c r="F567" s="555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spans="1:26" ht="11.25" customHeight="1">
      <c r="A568" s="337"/>
      <c r="B568" s="204"/>
      <c r="C568" s="554"/>
      <c r="D568" s="554"/>
      <c r="E568" s="207"/>
      <c r="F568" s="555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spans="1:26" ht="11.25" customHeight="1">
      <c r="A569" s="337"/>
      <c r="B569" s="204"/>
      <c r="C569" s="554"/>
      <c r="D569" s="554"/>
      <c r="E569" s="207"/>
      <c r="F569" s="555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spans="1:26" ht="11.25" customHeight="1">
      <c r="A570" s="337"/>
      <c r="B570" s="204"/>
      <c r="C570" s="554"/>
      <c r="D570" s="554"/>
      <c r="E570" s="207"/>
      <c r="F570" s="555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spans="1:26" ht="11.25" customHeight="1">
      <c r="A571" s="337"/>
      <c r="B571" s="204"/>
      <c r="C571" s="554"/>
      <c r="D571" s="554"/>
      <c r="E571" s="207"/>
      <c r="F571" s="555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spans="1:26" ht="11.25" customHeight="1">
      <c r="A572" s="337"/>
      <c r="B572" s="204"/>
      <c r="C572" s="554"/>
      <c r="D572" s="554"/>
      <c r="E572" s="207"/>
      <c r="F572" s="555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spans="1:26" ht="11.25" customHeight="1">
      <c r="A573" s="337"/>
      <c r="B573" s="204"/>
      <c r="C573" s="554"/>
      <c r="D573" s="554"/>
      <c r="E573" s="207"/>
      <c r="F573" s="555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spans="1:26" ht="11.25" customHeight="1">
      <c r="A574" s="337"/>
      <c r="B574" s="204"/>
      <c r="C574" s="554"/>
      <c r="D574" s="554"/>
      <c r="E574" s="207"/>
      <c r="F574" s="555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spans="1:26" ht="11.25" customHeight="1">
      <c r="A575" s="337"/>
      <c r="B575" s="204"/>
      <c r="C575" s="554"/>
      <c r="D575" s="554"/>
      <c r="E575" s="207"/>
      <c r="F575" s="555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spans="1:26" ht="11.25" customHeight="1">
      <c r="A576" s="337"/>
      <c r="B576" s="204"/>
      <c r="C576" s="554"/>
      <c r="D576" s="554"/>
      <c r="E576" s="207"/>
      <c r="F576" s="555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spans="1:26" ht="11.25" customHeight="1">
      <c r="A577" s="337"/>
      <c r="B577" s="204"/>
      <c r="C577" s="554"/>
      <c r="D577" s="554"/>
      <c r="E577" s="207"/>
      <c r="F577" s="555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spans="1:26" ht="11.25" customHeight="1">
      <c r="A578" s="337"/>
      <c r="B578" s="204"/>
      <c r="C578" s="554"/>
      <c r="D578" s="554"/>
      <c r="E578" s="207"/>
      <c r="F578" s="555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spans="1:26" ht="11.25" customHeight="1">
      <c r="A579" s="337"/>
      <c r="B579" s="204"/>
      <c r="C579" s="554"/>
      <c r="D579" s="554"/>
      <c r="E579" s="207"/>
      <c r="F579" s="555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spans="1:26" ht="11.25" customHeight="1">
      <c r="A580" s="337"/>
      <c r="B580" s="204"/>
      <c r="C580" s="554"/>
      <c r="D580" s="554"/>
      <c r="E580" s="207"/>
      <c r="F580" s="555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spans="1:26" ht="11.25" customHeight="1">
      <c r="A581" s="337"/>
      <c r="B581" s="204"/>
      <c r="C581" s="554"/>
      <c r="D581" s="554"/>
      <c r="E581" s="207"/>
      <c r="F581" s="555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spans="1:26" ht="11.25" customHeight="1">
      <c r="A582" s="337"/>
      <c r="B582" s="204"/>
      <c r="C582" s="554"/>
      <c r="D582" s="554"/>
      <c r="E582" s="207"/>
      <c r="F582" s="555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spans="1:26" ht="11.25" customHeight="1">
      <c r="A583" s="337"/>
      <c r="B583" s="204"/>
      <c r="C583" s="554"/>
      <c r="D583" s="554"/>
      <c r="E583" s="207"/>
      <c r="F583" s="555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spans="1:26" ht="11.25" customHeight="1">
      <c r="A584" s="337"/>
      <c r="B584" s="204"/>
      <c r="C584" s="554"/>
      <c r="D584" s="554"/>
      <c r="E584" s="207"/>
      <c r="F584" s="555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spans="1:26" ht="11.25" customHeight="1">
      <c r="A585" s="337"/>
      <c r="B585" s="204"/>
      <c r="C585" s="554"/>
      <c r="D585" s="554"/>
      <c r="E585" s="207"/>
      <c r="F585" s="555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spans="1:26" ht="11.25" customHeight="1">
      <c r="A586" s="337"/>
      <c r="B586" s="204"/>
      <c r="C586" s="554"/>
      <c r="D586" s="554"/>
      <c r="E586" s="207"/>
      <c r="F586" s="555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spans="1:26" ht="11.25" customHeight="1">
      <c r="A587" s="337"/>
      <c r="B587" s="204"/>
      <c r="C587" s="554"/>
      <c r="D587" s="554"/>
      <c r="E587" s="207"/>
      <c r="F587" s="555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spans="1:26" ht="11.25" customHeight="1">
      <c r="A588" s="337"/>
      <c r="B588" s="204"/>
      <c r="C588" s="554"/>
      <c r="D588" s="554"/>
      <c r="E588" s="207"/>
      <c r="F588" s="555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spans="1:26" ht="11.25" customHeight="1">
      <c r="A589" s="337"/>
      <c r="B589" s="204"/>
      <c r="C589" s="554"/>
      <c r="D589" s="554"/>
      <c r="E589" s="207"/>
      <c r="F589" s="555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spans="1:26" ht="11.25" customHeight="1">
      <c r="A590" s="337"/>
      <c r="B590" s="204"/>
      <c r="C590" s="554"/>
      <c r="D590" s="554"/>
      <c r="E590" s="207"/>
      <c r="F590" s="555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spans="1:26" ht="11.25" customHeight="1">
      <c r="A591" s="337"/>
      <c r="B591" s="204"/>
      <c r="C591" s="554"/>
      <c r="D591" s="554"/>
      <c r="E591" s="207"/>
      <c r="F591" s="555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spans="1:26" ht="11.25" customHeight="1">
      <c r="A592" s="337"/>
      <c r="B592" s="204"/>
      <c r="C592" s="554"/>
      <c r="D592" s="554"/>
      <c r="E592" s="207"/>
      <c r="F592" s="555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spans="1:26" ht="11.25" customHeight="1">
      <c r="A593" s="337"/>
      <c r="B593" s="204"/>
      <c r="C593" s="554"/>
      <c r="D593" s="554"/>
      <c r="E593" s="207"/>
      <c r="F593" s="555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spans="1:26" ht="11.25" customHeight="1">
      <c r="A594" s="337"/>
      <c r="B594" s="204"/>
      <c r="C594" s="554"/>
      <c r="D594" s="554"/>
      <c r="E594" s="207"/>
      <c r="F594" s="555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spans="1:26" ht="11.25" customHeight="1">
      <c r="A595" s="337"/>
      <c r="B595" s="204"/>
      <c r="C595" s="554"/>
      <c r="D595" s="554"/>
      <c r="E595" s="207"/>
      <c r="F595" s="555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spans="1:26" ht="11.25" customHeight="1">
      <c r="A596" s="337"/>
      <c r="B596" s="204"/>
      <c r="C596" s="554"/>
      <c r="D596" s="554"/>
      <c r="E596" s="207"/>
      <c r="F596" s="555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spans="1:26" ht="11.25" customHeight="1">
      <c r="A597" s="337"/>
      <c r="B597" s="204"/>
      <c r="C597" s="554"/>
      <c r="D597" s="554"/>
      <c r="E597" s="207"/>
      <c r="F597" s="555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spans="1:26" ht="11.25" customHeight="1">
      <c r="A598" s="337"/>
      <c r="B598" s="204"/>
      <c r="C598" s="554"/>
      <c r="D598" s="554"/>
      <c r="E598" s="207"/>
      <c r="F598" s="555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spans="1:26" ht="11.25" customHeight="1">
      <c r="A599" s="337"/>
      <c r="B599" s="204"/>
      <c r="C599" s="554"/>
      <c r="D599" s="554"/>
      <c r="E599" s="207"/>
      <c r="F599" s="555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spans="1:26" ht="11.25" customHeight="1">
      <c r="A600" s="337"/>
      <c r="B600" s="204"/>
      <c r="C600" s="554"/>
      <c r="D600" s="554"/>
      <c r="E600" s="207"/>
      <c r="F600" s="555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spans="1:26" ht="11.25" customHeight="1">
      <c r="A601" s="337"/>
      <c r="B601" s="204"/>
      <c r="C601" s="554"/>
      <c r="D601" s="554"/>
      <c r="E601" s="207"/>
      <c r="F601" s="555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spans="1:26" ht="11.25" customHeight="1">
      <c r="A602" s="337"/>
      <c r="B602" s="204"/>
      <c r="C602" s="554"/>
      <c r="D602" s="554"/>
      <c r="E602" s="207"/>
      <c r="F602" s="555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spans="1:26" ht="11.25" customHeight="1">
      <c r="A603" s="337"/>
      <c r="B603" s="204"/>
      <c r="C603" s="554"/>
      <c r="D603" s="554"/>
      <c r="E603" s="207"/>
      <c r="F603" s="555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spans="1:26" ht="11.25" customHeight="1">
      <c r="A604" s="337"/>
      <c r="B604" s="204"/>
      <c r="C604" s="554"/>
      <c r="D604" s="554"/>
      <c r="E604" s="207"/>
      <c r="F604" s="555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spans="1:26" ht="11.25" customHeight="1">
      <c r="A605" s="337"/>
      <c r="B605" s="204"/>
      <c r="C605" s="554"/>
      <c r="D605" s="554"/>
      <c r="E605" s="207"/>
      <c r="F605" s="555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spans="1:26" ht="11.25" customHeight="1">
      <c r="A606" s="337"/>
      <c r="B606" s="204"/>
      <c r="C606" s="554"/>
      <c r="D606" s="554"/>
      <c r="E606" s="207"/>
      <c r="F606" s="555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spans="1:26" ht="11.25" customHeight="1">
      <c r="A607" s="337"/>
      <c r="B607" s="204"/>
      <c r="C607" s="554"/>
      <c r="D607" s="554"/>
      <c r="E607" s="207"/>
      <c r="F607" s="555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spans="1:26" ht="11.25" customHeight="1">
      <c r="A608" s="337"/>
      <c r="B608" s="204"/>
      <c r="C608" s="554"/>
      <c r="D608" s="554"/>
      <c r="E608" s="207"/>
      <c r="F608" s="555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spans="1:26" ht="11.25" customHeight="1">
      <c r="A609" s="337"/>
      <c r="B609" s="204"/>
      <c r="C609" s="554"/>
      <c r="D609" s="554"/>
      <c r="E609" s="207"/>
      <c r="F609" s="555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spans="1:26" ht="11.25" customHeight="1">
      <c r="A610" s="337"/>
      <c r="B610" s="204"/>
      <c r="C610" s="554"/>
      <c r="D610" s="554"/>
      <c r="E610" s="207"/>
      <c r="F610" s="555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spans="1:26" ht="11.25" customHeight="1">
      <c r="A611" s="337"/>
      <c r="B611" s="204"/>
      <c r="C611" s="554"/>
      <c r="D611" s="554"/>
      <c r="E611" s="207"/>
      <c r="F611" s="555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spans="1:26" ht="11.25" customHeight="1">
      <c r="A612" s="337"/>
      <c r="B612" s="204"/>
      <c r="C612" s="554"/>
      <c r="D612" s="554"/>
      <c r="E612" s="207"/>
      <c r="F612" s="555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spans="1:26" ht="11.25" customHeight="1">
      <c r="A613" s="337"/>
      <c r="B613" s="204"/>
      <c r="C613" s="554"/>
      <c r="D613" s="554"/>
      <c r="E613" s="207"/>
      <c r="F613" s="555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spans="1:26" ht="11.25" customHeight="1">
      <c r="A614" s="337"/>
      <c r="B614" s="204"/>
      <c r="C614" s="554"/>
      <c r="D614" s="554"/>
      <c r="E614" s="207"/>
      <c r="F614" s="555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spans="1:26" ht="11.25" customHeight="1">
      <c r="A615" s="337"/>
      <c r="B615" s="204"/>
      <c r="C615" s="554"/>
      <c r="D615" s="554"/>
      <c r="E615" s="207"/>
      <c r="F615" s="555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spans="1:26" ht="11.25" customHeight="1">
      <c r="A616" s="337"/>
      <c r="B616" s="204"/>
      <c r="C616" s="554"/>
      <c r="D616" s="554"/>
      <c r="E616" s="207"/>
      <c r="F616" s="555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spans="1:26" ht="11.25" customHeight="1">
      <c r="A617" s="337"/>
      <c r="B617" s="204"/>
      <c r="C617" s="554"/>
      <c r="D617" s="554"/>
      <c r="E617" s="207"/>
      <c r="F617" s="555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spans="1:26" ht="11.25" customHeight="1">
      <c r="A618" s="337"/>
      <c r="B618" s="204"/>
      <c r="C618" s="554"/>
      <c r="D618" s="554"/>
      <c r="E618" s="207"/>
      <c r="F618" s="555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spans="1:26" ht="11.25" customHeight="1">
      <c r="A619" s="337"/>
      <c r="B619" s="204"/>
      <c r="C619" s="554"/>
      <c r="D619" s="554"/>
      <c r="E619" s="207"/>
      <c r="F619" s="555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spans="1:26" ht="11.25" customHeight="1">
      <c r="A620" s="337"/>
      <c r="B620" s="204"/>
      <c r="C620" s="554"/>
      <c r="D620" s="554"/>
      <c r="E620" s="207"/>
      <c r="F620" s="555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spans="1:26" ht="11.25" customHeight="1">
      <c r="A621" s="337"/>
      <c r="B621" s="204"/>
      <c r="C621" s="554"/>
      <c r="D621" s="554"/>
      <c r="E621" s="207"/>
      <c r="F621" s="555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spans="1:26" ht="11.25" customHeight="1">
      <c r="A622" s="337"/>
      <c r="B622" s="204"/>
      <c r="C622" s="554"/>
      <c r="D622" s="554"/>
      <c r="E622" s="207"/>
      <c r="F622" s="555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spans="1:26" ht="11.25" customHeight="1">
      <c r="A623" s="337"/>
      <c r="B623" s="204"/>
      <c r="C623" s="554"/>
      <c r="D623" s="554"/>
      <c r="E623" s="207"/>
      <c r="F623" s="555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spans="1:26" ht="11.25" customHeight="1">
      <c r="A624" s="337"/>
      <c r="B624" s="204"/>
      <c r="C624" s="554"/>
      <c r="D624" s="554"/>
      <c r="E624" s="207"/>
      <c r="F624" s="555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spans="1:26" ht="11.25" customHeight="1">
      <c r="A625" s="337"/>
      <c r="B625" s="204"/>
      <c r="C625" s="554"/>
      <c r="D625" s="554"/>
      <c r="E625" s="207"/>
      <c r="F625" s="555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spans="1:26" ht="11.25" customHeight="1">
      <c r="A626" s="337"/>
      <c r="B626" s="204"/>
      <c r="C626" s="554"/>
      <c r="D626" s="554"/>
      <c r="E626" s="207"/>
      <c r="F626" s="555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spans="1:26" ht="11.25" customHeight="1">
      <c r="A627" s="337"/>
      <c r="B627" s="204"/>
      <c r="C627" s="554"/>
      <c r="D627" s="554"/>
      <c r="E627" s="207"/>
      <c r="F627" s="555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spans="1:26" ht="11.25" customHeight="1">
      <c r="A628" s="337"/>
      <c r="B628" s="204"/>
      <c r="C628" s="554"/>
      <c r="D628" s="554"/>
      <c r="E628" s="207"/>
      <c r="F628" s="555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spans="1:26" ht="11.25" customHeight="1">
      <c r="A629" s="337"/>
      <c r="B629" s="204"/>
      <c r="C629" s="554"/>
      <c r="D629" s="554"/>
      <c r="E629" s="207"/>
      <c r="F629" s="555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spans="1:26" ht="11.25" customHeight="1">
      <c r="A630" s="337"/>
      <c r="B630" s="204"/>
      <c r="C630" s="554"/>
      <c r="D630" s="554"/>
      <c r="E630" s="207"/>
      <c r="F630" s="555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spans="1:26" ht="11.25" customHeight="1">
      <c r="A631" s="337"/>
      <c r="B631" s="204"/>
      <c r="C631" s="554"/>
      <c r="D631" s="554"/>
      <c r="E631" s="207"/>
      <c r="F631" s="555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spans="1:26" ht="11.25" customHeight="1">
      <c r="A632" s="337"/>
      <c r="B632" s="204"/>
      <c r="C632" s="554"/>
      <c r="D632" s="554"/>
      <c r="E632" s="207"/>
      <c r="F632" s="555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spans="1:26" ht="11.25" customHeight="1">
      <c r="A633" s="337"/>
      <c r="B633" s="204"/>
      <c r="C633" s="554"/>
      <c r="D633" s="554"/>
      <c r="E633" s="207"/>
      <c r="F633" s="555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spans="1:26" ht="11.25" customHeight="1">
      <c r="A634" s="337"/>
      <c r="B634" s="204"/>
      <c r="C634" s="554"/>
      <c r="D634" s="554"/>
      <c r="E634" s="207"/>
      <c r="F634" s="555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spans="1:26" ht="11.25" customHeight="1">
      <c r="A635" s="337"/>
      <c r="B635" s="204"/>
      <c r="C635" s="554"/>
      <c r="D635" s="554"/>
      <c r="E635" s="207"/>
      <c r="F635" s="555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spans="1:26" ht="11.25" customHeight="1">
      <c r="A636" s="337"/>
      <c r="B636" s="204"/>
      <c r="C636" s="554"/>
      <c r="D636" s="554"/>
      <c r="E636" s="207"/>
      <c r="F636" s="555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spans="1:26" ht="11.25" customHeight="1">
      <c r="A637" s="337"/>
      <c r="B637" s="204"/>
      <c r="C637" s="554"/>
      <c r="D637" s="554"/>
      <c r="E637" s="207"/>
      <c r="F637" s="555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spans="1:26" ht="11.25" customHeight="1">
      <c r="A638" s="337"/>
      <c r="B638" s="204"/>
      <c r="C638" s="554"/>
      <c r="D638" s="554"/>
      <c r="E638" s="207"/>
      <c r="F638" s="555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spans="1:26" ht="11.25" customHeight="1">
      <c r="A639" s="337"/>
      <c r="B639" s="204"/>
      <c r="C639" s="554"/>
      <c r="D639" s="554"/>
      <c r="E639" s="207"/>
      <c r="F639" s="555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spans="1:26" ht="11.25" customHeight="1">
      <c r="A640" s="337"/>
      <c r="B640" s="204"/>
      <c r="C640" s="554"/>
      <c r="D640" s="554"/>
      <c r="E640" s="207"/>
      <c r="F640" s="555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spans="1:26" ht="11.25" customHeight="1">
      <c r="A641" s="337"/>
      <c r="B641" s="204"/>
      <c r="C641" s="554"/>
      <c r="D641" s="554"/>
      <c r="E641" s="207"/>
      <c r="F641" s="555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spans="1:26" ht="11.25" customHeight="1">
      <c r="A642" s="337"/>
      <c r="B642" s="204"/>
      <c r="C642" s="554"/>
      <c r="D642" s="554"/>
      <c r="E642" s="207"/>
      <c r="F642" s="555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spans="1:26" ht="11.25" customHeight="1">
      <c r="A643" s="337"/>
      <c r="B643" s="204"/>
      <c r="C643" s="554"/>
      <c r="D643" s="554"/>
      <c r="E643" s="207"/>
      <c r="F643" s="555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spans="1:26" ht="11.25" customHeight="1">
      <c r="A644" s="337"/>
      <c r="B644" s="204"/>
      <c r="C644" s="554"/>
      <c r="D644" s="554"/>
      <c r="E644" s="207"/>
      <c r="F644" s="555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spans="1:26" ht="11.25" customHeight="1">
      <c r="A645" s="337"/>
      <c r="B645" s="204"/>
      <c r="C645" s="554"/>
      <c r="D645" s="554"/>
      <c r="E645" s="207"/>
      <c r="F645" s="555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spans="1:26" ht="11.25" customHeight="1">
      <c r="A646" s="337"/>
      <c r="B646" s="204"/>
      <c r="C646" s="554"/>
      <c r="D646" s="554"/>
      <c r="E646" s="207"/>
      <c r="F646" s="555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spans="1:26" ht="11.25" customHeight="1">
      <c r="A647" s="337"/>
      <c r="B647" s="204"/>
      <c r="C647" s="554"/>
      <c r="D647" s="554"/>
      <c r="E647" s="207"/>
      <c r="F647" s="555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spans="1:26" ht="11.25" customHeight="1">
      <c r="A648" s="337"/>
      <c r="B648" s="204"/>
      <c r="C648" s="554"/>
      <c r="D648" s="554"/>
      <c r="E648" s="207"/>
      <c r="F648" s="555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spans="1:26" ht="11.25" customHeight="1">
      <c r="A649" s="337"/>
      <c r="B649" s="204"/>
      <c r="C649" s="554"/>
      <c r="D649" s="554"/>
      <c r="E649" s="207"/>
      <c r="F649" s="555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spans="1:26" ht="11.25" customHeight="1">
      <c r="A650" s="337"/>
      <c r="B650" s="204"/>
      <c r="C650" s="554"/>
      <c r="D650" s="554"/>
      <c r="E650" s="207"/>
      <c r="F650" s="555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spans="1:26" ht="11.25" customHeight="1">
      <c r="A651" s="337"/>
      <c r="B651" s="204"/>
      <c r="C651" s="554"/>
      <c r="D651" s="554"/>
      <c r="E651" s="207"/>
      <c r="F651" s="555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spans="1:26" ht="11.25" customHeight="1">
      <c r="A652" s="337"/>
      <c r="B652" s="204"/>
      <c r="C652" s="554"/>
      <c r="D652" s="554"/>
      <c r="E652" s="207"/>
      <c r="F652" s="555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spans="1:26" ht="11.25" customHeight="1">
      <c r="A653" s="337"/>
      <c r="B653" s="204"/>
      <c r="C653" s="554"/>
      <c r="D653" s="554"/>
      <c r="E653" s="207"/>
      <c r="F653" s="555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spans="1:26" ht="11.25" customHeight="1">
      <c r="A654" s="337"/>
      <c r="B654" s="204"/>
      <c r="C654" s="554"/>
      <c r="D654" s="554"/>
      <c r="E654" s="207"/>
      <c r="F654" s="555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spans="1:26" ht="11.25" customHeight="1">
      <c r="A655" s="337"/>
      <c r="B655" s="204"/>
      <c r="C655" s="554"/>
      <c r="D655" s="554"/>
      <c r="E655" s="207"/>
      <c r="F655" s="555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spans="1:26" ht="11.25" customHeight="1">
      <c r="A656" s="337"/>
      <c r="B656" s="204"/>
      <c r="C656" s="554"/>
      <c r="D656" s="554"/>
      <c r="E656" s="207"/>
      <c r="F656" s="555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spans="1:26" ht="11.25" customHeight="1">
      <c r="A657" s="337"/>
      <c r="B657" s="204"/>
      <c r="C657" s="554"/>
      <c r="D657" s="554"/>
      <c r="E657" s="207"/>
      <c r="F657" s="555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spans="1:26" ht="11.25" customHeight="1">
      <c r="A658" s="337"/>
      <c r="B658" s="204"/>
      <c r="C658" s="554"/>
      <c r="D658" s="554"/>
      <c r="E658" s="207"/>
      <c r="F658" s="555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spans="1:26" ht="11.25" customHeight="1">
      <c r="A659" s="337"/>
      <c r="B659" s="204"/>
      <c r="C659" s="554"/>
      <c r="D659" s="554"/>
      <c r="E659" s="207"/>
      <c r="F659" s="555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spans="1:26" ht="11.25" customHeight="1">
      <c r="A660" s="337"/>
      <c r="B660" s="204"/>
      <c r="C660" s="554"/>
      <c r="D660" s="554"/>
      <c r="E660" s="207"/>
      <c r="F660" s="555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spans="1:26" ht="11.25" customHeight="1">
      <c r="A661" s="337"/>
      <c r="B661" s="204"/>
      <c r="C661" s="554"/>
      <c r="D661" s="554"/>
      <c r="E661" s="207"/>
      <c r="F661" s="555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spans="1:26" ht="11.25" customHeight="1">
      <c r="A662" s="337"/>
      <c r="B662" s="204"/>
      <c r="C662" s="554"/>
      <c r="D662" s="554"/>
      <c r="E662" s="207"/>
      <c r="F662" s="555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spans="1:26" ht="11.25" customHeight="1">
      <c r="A663" s="337"/>
      <c r="B663" s="204"/>
      <c r="C663" s="554"/>
      <c r="D663" s="554"/>
      <c r="E663" s="207"/>
      <c r="F663" s="555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spans="1:26" ht="11.25" customHeight="1">
      <c r="A664" s="337"/>
      <c r="B664" s="204"/>
      <c r="C664" s="554"/>
      <c r="D664" s="554"/>
      <c r="E664" s="207"/>
      <c r="F664" s="555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spans="1:26" ht="11.25" customHeight="1">
      <c r="A665" s="337"/>
      <c r="B665" s="204"/>
      <c r="C665" s="554"/>
      <c r="D665" s="554"/>
      <c r="E665" s="207"/>
      <c r="F665" s="555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spans="1:26" ht="11.25" customHeight="1">
      <c r="A666" s="337"/>
      <c r="B666" s="204"/>
      <c r="C666" s="554"/>
      <c r="D666" s="554"/>
      <c r="E666" s="207"/>
      <c r="F666" s="555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spans="1:26" ht="11.25" customHeight="1">
      <c r="A667" s="337"/>
      <c r="B667" s="204"/>
      <c r="C667" s="554"/>
      <c r="D667" s="554"/>
      <c r="E667" s="207"/>
      <c r="F667" s="555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spans="1:26" ht="11.25" customHeight="1">
      <c r="A668" s="337"/>
      <c r="B668" s="204"/>
      <c r="C668" s="554"/>
      <c r="D668" s="554"/>
      <c r="E668" s="207"/>
      <c r="F668" s="555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spans="1:26" ht="11.25" customHeight="1">
      <c r="A669" s="337"/>
      <c r="B669" s="204"/>
      <c r="C669" s="554"/>
      <c r="D669" s="554"/>
      <c r="E669" s="207"/>
      <c r="F669" s="555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spans="1:26" ht="11.25" customHeight="1">
      <c r="A670" s="337"/>
      <c r="B670" s="204"/>
      <c r="C670" s="554"/>
      <c r="D670" s="554"/>
      <c r="E670" s="207"/>
      <c r="F670" s="555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spans="1:26" ht="11.25" customHeight="1">
      <c r="A671" s="337"/>
      <c r="B671" s="204"/>
      <c r="C671" s="554"/>
      <c r="D671" s="554"/>
      <c r="E671" s="207"/>
      <c r="F671" s="555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spans="1:26" ht="11.25" customHeight="1">
      <c r="A672" s="337"/>
      <c r="B672" s="204"/>
      <c r="C672" s="554"/>
      <c r="D672" s="554"/>
      <c r="E672" s="207"/>
      <c r="F672" s="555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spans="1:26" ht="11.25" customHeight="1">
      <c r="A673" s="337"/>
      <c r="B673" s="204"/>
      <c r="C673" s="554"/>
      <c r="D673" s="554"/>
      <c r="E673" s="207"/>
      <c r="F673" s="555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spans="1:26" ht="11.25" customHeight="1">
      <c r="A674" s="337"/>
      <c r="B674" s="204"/>
      <c r="C674" s="554"/>
      <c r="D674" s="554"/>
      <c r="E674" s="207"/>
      <c r="F674" s="555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spans="1:26" ht="11.25" customHeight="1">
      <c r="A675" s="337"/>
      <c r="B675" s="204"/>
      <c r="C675" s="554"/>
      <c r="D675" s="554"/>
      <c r="E675" s="207"/>
      <c r="F675" s="555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spans="1:26" ht="11.25" customHeight="1">
      <c r="A676" s="337"/>
      <c r="B676" s="204"/>
      <c r="C676" s="554"/>
      <c r="D676" s="554"/>
      <c r="E676" s="207"/>
      <c r="F676" s="555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spans="1:26" ht="11.25" customHeight="1">
      <c r="A677" s="337"/>
      <c r="B677" s="204"/>
      <c r="C677" s="554"/>
      <c r="D677" s="554"/>
      <c r="E677" s="207"/>
      <c r="F677" s="555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spans="1:26" ht="11.25" customHeight="1">
      <c r="A678" s="337"/>
      <c r="B678" s="204"/>
      <c r="C678" s="554"/>
      <c r="D678" s="554"/>
      <c r="E678" s="207"/>
      <c r="F678" s="555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spans="1:26" ht="11.25" customHeight="1">
      <c r="A679" s="337"/>
      <c r="B679" s="204"/>
      <c r="C679" s="554"/>
      <c r="D679" s="554"/>
      <c r="E679" s="207"/>
      <c r="F679" s="555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spans="1:26" ht="11.25" customHeight="1">
      <c r="A680" s="337"/>
      <c r="B680" s="204"/>
      <c r="C680" s="554"/>
      <c r="D680" s="554"/>
      <c r="E680" s="207"/>
      <c r="F680" s="555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spans="1:26" ht="11.25" customHeight="1">
      <c r="A681" s="337"/>
      <c r="B681" s="204"/>
      <c r="C681" s="554"/>
      <c r="D681" s="554"/>
      <c r="E681" s="207"/>
      <c r="F681" s="555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spans="1:26" ht="11.25" customHeight="1">
      <c r="A682" s="337"/>
      <c r="B682" s="204"/>
      <c r="C682" s="554"/>
      <c r="D682" s="554"/>
      <c r="E682" s="207"/>
      <c r="F682" s="555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spans="1:26" ht="11.25" customHeight="1">
      <c r="A683" s="337"/>
      <c r="B683" s="204"/>
      <c r="C683" s="554"/>
      <c r="D683" s="554"/>
      <c r="E683" s="207"/>
      <c r="F683" s="555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spans="1:26" ht="11.25" customHeight="1">
      <c r="A684" s="337"/>
      <c r="B684" s="204"/>
      <c r="C684" s="554"/>
      <c r="D684" s="554"/>
      <c r="E684" s="207"/>
      <c r="F684" s="555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spans="1:26" ht="11.25" customHeight="1">
      <c r="A685" s="337"/>
      <c r="B685" s="204"/>
      <c r="C685" s="554"/>
      <c r="D685" s="554"/>
      <c r="E685" s="207"/>
      <c r="F685" s="555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spans="1:26" ht="11.25" customHeight="1">
      <c r="A686" s="337"/>
      <c r="B686" s="204"/>
      <c r="C686" s="554"/>
      <c r="D686" s="554"/>
      <c r="E686" s="207"/>
      <c r="F686" s="555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spans="1:26" ht="11.25" customHeight="1">
      <c r="A687" s="337"/>
      <c r="B687" s="204"/>
      <c r="C687" s="554"/>
      <c r="D687" s="554"/>
      <c r="E687" s="207"/>
      <c r="F687" s="555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spans="1:26" ht="11.25" customHeight="1">
      <c r="A688" s="337"/>
      <c r="B688" s="204"/>
      <c r="C688" s="554"/>
      <c r="D688" s="554"/>
      <c r="E688" s="207"/>
      <c r="F688" s="555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spans="1:26" ht="11.25" customHeight="1">
      <c r="A689" s="337"/>
      <c r="B689" s="204"/>
      <c r="C689" s="554"/>
      <c r="D689" s="554"/>
      <c r="E689" s="207"/>
      <c r="F689" s="555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spans="1:26" ht="11.25" customHeight="1">
      <c r="A690" s="337"/>
      <c r="B690" s="204"/>
      <c r="C690" s="554"/>
      <c r="D690" s="554"/>
      <c r="E690" s="207"/>
      <c r="F690" s="555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spans="1:26" ht="11.25" customHeight="1">
      <c r="A691" s="337"/>
      <c r="B691" s="204"/>
      <c r="C691" s="554"/>
      <c r="D691" s="554"/>
      <c r="E691" s="207"/>
      <c r="F691" s="555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spans="1:26" ht="11.25" customHeight="1">
      <c r="A692" s="337"/>
      <c r="B692" s="204"/>
      <c r="C692" s="554"/>
      <c r="D692" s="554"/>
      <c r="E692" s="207"/>
      <c r="F692" s="555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spans="1:26" ht="11.25" customHeight="1">
      <c r="A693" s="337"/>
      <c r="B693" s="204"/>
      <c r="C693" s="554"/>
      <c r="D693" s="554"/>
      <c r="E693" s="207"/>
      <c r="F693" s="555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spans="1:26" ht="11.25" customHeight="1">
      <c r="A694" s="337"/>
      <c r="B694" s="204"/>
      <c r="C694" s="554"/>
      <c r="D694" s="554"/>
      <c r="E694" s="207"/>
      <c r="F694" s="555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spans="1:26" ht="11.25" customHeight="1">
      <c r="A695" s="337"/>
      <c r="B695" s="204"/>
      <c r="C695" s="554"/>
      <c r="D695" s="554"/>
      <c r="E695" s="207"/>
      <c r="F695" s="555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spans="1:26" ht="11.25" customHeight="1">
      <c r="A696" s="337"/>
      <c r="B696" s="204"/>
      <c r="C696" s="554"/>
      <c r="D696" s="554"/>
      <c r="E696" s="207"/>
      <c r="F696" s="555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spans="1:26" ht="11.25" customHeight="1">
      <c r="A697" s="337"/>
      <c r="B697" s="204"/>
      <c r="C697" s="554"/>
      <c r="D697" s="554"/>
      <c r="E697" s="207"/>
      <c r="F697" s="555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spans="1:26" ht="11.25" customHeight="1">
      <c r="A698" s="337"/>
      <c r="B698" s="204"/>
      <c r="C698" s="554"/>
      <c r="D698" s="554"/>
      <c r="E698" s="207"/>
      <c r="F698" s="555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spans="1:26" ht="11.25" customHeight="1">
      <c r="A699" s="337"/>
      <c r="B699" s="204"/>
      <c r="C699" s="554"/>
      <c r="D699" s="554"/>
      <c r="E699" s="207"/>
      <c r="F699" s="555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spans="1:26" ht="11.25" customHeight="1">
      <c r="A700" s="337"/>
      <c r="B700" s="204"/>
      <c r="C700" s="554"/>
      <c r="D700" s="554"/>
      <c r="E700" s="207"/>
      <c r="F700" s="555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spans="1:26" ht="11.25" customHeight="1">
      <c r="A701" s="337"/>
      <c r="B701" s="204"/>
      <c r="C701" s="554"/>
      <c r="D701" s="554"/>
      <c r="E701" s="207"/>
      <c r="F701" s="555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spans="1:26" ht="11.25" customHeight="1">
      <c r="A702" s="337"/>
      <c r="B702" s="204"/>
      <c r="C702" s="554"/>
      <c r="D702" s="554"/>
      <c r="E702" s="207"/>
      <c r="F702" s="555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spans="1:26" ht="11.25" customHeight="1">
      <c r="A703" s="337"/>
      <c r="B703" s="204"/>
      <c r="C703" s="554"/>
      <c r="D703" s="554"/>
      <c r="E703" s="207"/>
      <c r="F703" s="555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spans="1:26" ht="11.25" customHeight="1">
      <c r="A704" s="337"/>
      <c r="B704" s="204"/>
      <c r="C704" s="554"/>
      <c r="D704" s="554"/>
      <c r="E704" s="207"/>
      <c r="F704" s="555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spans="1:26" ht="11.25" customHeight="1">
      <c r="A705" s="337"/>
      <c r="B705" s="204"/>
      <c r="C705" s="554"/>
      <c r="D705" s="554"/>
      <c r="E705" s="207"/>
      <c r="F705" s="555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spans="1:26" ht="11.25" customHeight="1">
      <c r="A706" s="337"/>
      <c r="B706" s="204"/>
      <c r="C706" s="554"/>
      <c r="D706" s="554"/>
      <c r="E706" s="207"/>
      <c r="F706" s="555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spans="1:26" ht="11.25" customHeight="1">
      <c r="A707" s="337"/>
      <c r="B707" s="204"/>
      <c r="C707" s="554"/>
      <c r="D707" s="554"/>
      <c r="E707" s="207"/>
      <c r="F707" s="555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spans="1:26" ht="11.25" customHeight="1">
      <c r="A708" s="337"/>
      <c r="B708" s="204"/>
      <c r="C708" s="554"/>
      <c r="D708" s="554"/>
      <c r="E708" s="207"/>
      <c r="F708" s="555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spans="1:26" ht="11.25" customHeight="1">
      <c r="A709" s="337"/>
      <c r="B709" s="204"/>
      <c r="C709" s="554"/>
      <c r="D709" s="554"/>
      <c r="E709" s="207"/>
      <c r="F709" s="555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spans="1:26" ht="11.25" customHeight="1">
      <c r="A710" s="337"/>
      <c r="B710" s="204"/>
      <c r="C710" s="554"/>
      <c r="D710" s="554"/>
      <c r="E710" s="207"/>
      <c r="F710" s="555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spans="1:26" ht="11.25" customHeight="1">
      <c r="A711" s="337"/>
      <c r="B711" s="204"/>
      <c r="C711" s="554"/>
      <c r="D711" s="554"/>
      <c r="E711" s="207"/>
      <c r="F711" s="555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spans="1:26" ht="11.25" customHeight="1">
      <c r="A712" s="337"/>
      <c r="B712" s="204"/>
      <c r="C712" s="554"/>
      <c r="D712" s="554"/>
      <c r="E712" s="207"/>
      <c r="F712" s="555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spans="1:26" ht="11.25" customHeight="1">
      <c r="A713" s="337"/>
      <c r="B713" s="204"/>
      <c r="C713" s="554"/>
      <c r="D713" s="554"/>
      <c r="E713" s="207"/>
      <c r="F713" s="555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spans="1:26" ht="11.25" customHeight="1">
      <c r="A714" s="337"/>
      <c r="B714" s="204"/>
      <c r="C714" s="554"/>
      <c r="D714" s="554"/>
      <c r="E714" s="207"/>
      <c r="F714" s="555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spans="1:26" ht="11.25" customHeight="1">
      <c r="A715" s="337"/>
      <c r="B715" s="204"/>
      <c r="C715" s="554"/>
      <c r="D715" s="554"/>
      <c r="E715" s="207"/>
      <c r="F715" s="555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spans="1:26" ht="11.25" customHeight="1">
      <c r="A716" s="337"/>
      <c r="B716" s="204"/>
      <c r="C716" s="554"/>
      <c r="D716" s="554"/>
      <c r="E716" s="207"/>
      <c r="F716" s="555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spans="1:26" ht="11.25" customHeight="1">
      <c r="A717" s="337"/>
      <c r="B717" s="204"/>
      <c r="C717" s="554"/>
      <c r="D717" s="554"/>
      <c r="E717" s="207"/>
      <c r="F717" s="555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spans="1:26" ht="11.25" customHeight="1">
      <c r="A718" s="337"/>
      <c r="B718" s="204"/>
      <c r="C718" s="554"/>
      <c r="D718" s="554"/>
      <c r="E718" s="207"/>
      <c r="F718" s="555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spans="1:26" ht="11.25" customHeight="1">
      <c r="A719" s="337"/>
      <c r="B719" s="204"/>
      <c r="C719" s="554"/>
      <c r="D719" s="554"/>
      <c r="E719" s="207"/>
      <c r="F719" s="555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spans="1:26" ht="11.25" customHeight="1">
      <c r="A720" s="337"/>
      <c r="B720" s="204"/>
      <c r="C720" s="554"/>
      <c r="D720" s="554"/>
      <c r="E720" s="207"/>
      <c r="F720" s="555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spans="1:26" ht="11.25" customHeight="1">
      <c r="A721" s="337"/>
      <c r="B721" s="204"/>
      <c r="C721" s="554"/>
      <c r="D721" s="554"/>
      <c r="E721" s="207"/>
      <c r="F721" s="555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spans="1:26" ht="11.25" customHeight="1">
      <c r="A722" s="337"/>
      <c r="B722" s="204"/>
      <c r="C722" s="554"/>
      <c r="D722" s="554"/>
      <c r="E722" s="207"/>
      <c r="F722" s="555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spans="1:26" ht="11.25" customHeight="1">
      <c r="A723" s="337"/>
      <c r="B723" s="204"/>
      <c r="C723" s="554"/>
      <c r="D723" s="554"/>
      <c r="E723" s="207"/>
      <c r="F723" s="555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spans="1:26" ht="11.25" customHeight="1">
      <c r="A724" s="337"/>
      <c r="B724" s="204"/>
      <c r="C724" s="554"/>
      <c r="D724" s="554"/>
      <c r="E724" s="207"/>
      <c r="F724" s="555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spans="1:26" ht="11.25" customHeight="1">
      <c r="A725" s="337"/>
      <c r="B725" s="204"/>
      <c r="C725" s="554"/>
      <c r="D725" s="554"/>
      <c r="E725" s="207"/>
      <c r="F725" s="555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spans="1:26" ht="11.25" customHeight="1">
      <c r="A726" s="337"/>
      <c r="B726" s="204"/>
      <c r="C726" s="554"/>
      <c r="D726" s="554"/>
      <c r="E726" s="207"/>
      <c r="F726" s="555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spans="1:26" ht="11.25" customHeight="1">
      <c r="A727" s="337"/>
      <c r="B727" s="204"/>
      <c r="C727" s="554"/>
      <c r="D727" s="554"/>
      <c r="E727" s="207"/>
      <c r="F727" s="555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spans="1:26" ht="11.25" customHeight="1">
      <c r="A728" s="337"/>
      <c r="B728" s="204"/>
      <c r="C728" s="554"/>
      <c r="D728" s="554"/>
      <c r="E728" s="207"/>
      <c r="F728" s="555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spans="1:26" ht="11.25" customHeight="1">
      <c r="A729" s="337"/>
      <c r="B729" s="204"/>
      <c r="C729" s="554"/>
      <c r="D729" s="554"/>
      <c r="E729" s="207"/>
      <c r="F729" s="555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spans="1:26" ht="11.25" customHeight="1">
      <c r="A730" s="337"/>
      <c r="B730" s="204"/>
      <c r="C730" s="554"/>
      <c r="D730" s="554"/>
      <c r="E730" s="207"/>
      <c r="F730" s="555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spans="1:26" ht="11.25" customHeight="1">
      <c r="A731" s="337"/>
      <c r="B731" s="204"/>
      <c r="C731" s="554"/>
      <c r="D731" s="554"/>
      <c r="E731" s="207"/>
      <c r="F731" s="555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spans="1:26" ht="11.25" customHeight="1">
      <c r="A732" s="337"/>
      <c r="B732" s="204"/>
      <c r="C732" s="554"/>
      <c r="D732" s="554"/>
      <c r="E732" s="207"/>
      <c r="F732" s="555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spans="1:26" ht="11.25" customHeight="1">
      <c r="A733" s="337"/>
      <c r="B733" s="204"/>
      <c r="C733" s="554"/>
      <c r="D733" s="554"/>
      <c r="E733" s="207"/>
      <c r="F733" s="555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spans="1:26" ht="11.25" customHeight="1">
      <c r="A734" s="337"/>
      <c r="B734" s="204"/>
      <c r="C734" s="554"/>
      <c r="D734" s="554"/>
      <c r="E734" s="207"/>
      <c r="F734" s="555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spans="1:26" ht="11.25" customHeight="1">
      <c r="A735" s="337"/>
      <c r="B735" s="204"/>
      <c r="C735" s="554"/>
      <c r="D735" s="554"/>
      <c r="E735" s="207"/>
      <c r="F735" s="555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spans="1:26" ht="11.25" customHeight="1">
      <c r="A736" s="337"/>
      <c r="B736" s="204"/>
      <c r="C736" s="554"/>
      <c r="D736" s="554"/>
      <c r="E736" s="207"/>
      <c r="F736" s="555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spans="1:26" ht="11.25" customHeight="1">
      <c r="A737" s="337"/>
      <c r="B737" s="204"/>
      <c r="C737" s="554"/>
      <c r="D737" s="554"/>
      <c r="E737" s="207"/>
      <c r="F737" s="555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spans="1:26" ht="11.25" customHeight="1">
      <c r="A738" s="337"/>
      <c r="B738" s="204"/>
      <c r="C738" s="554"/>
      <c r="D738" s="554"/>
      <c r="E738" s="207"/>
      <c r="F738" s="555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spans="1:26" ht="11.25" customHeight="1">
      <c r="A739" s="337"/>
      <c r="B739" s="204"/>
      <c r="C739" s="554"/>
      <c r="D739" s="554"/>
      <c r="E739" s="207"/>
      <c r="F739" s="555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spans="1:26" ht="11.25" customHeight="1">
      <c r="A740" s="337"/>
      <c r="B740" s="204"/>
      <c r="C740" s="554"/>
      <c r="D740" s="554"/>
      <c r="E740" s="207"/>
      <c r="F740" s="555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spans="1:26" ht="11.25" customHeight="1">
      <c r="A741" s="337"/>
      <c r="B741" s="204"/>
      <c r="C741" s="554"/>
      <c r="D741" s="554"/>
      <c r="E741" s="207"/>
      <c r="F741" s="555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spans="1:26" ht="11.25" customHeight="1">
      <c r="A742" s="337"/>
      <c r="B742" s="204"/>
      <c r="C742" s="554"/>
      <c r="D742" s="554"/>
      <c r="E742" s="207"/>
      <c r="F742" s="555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spans="1:26" ht="11.25" customHeight="1">
      <c r="A743" s="337"/>
      <c r="B743" s="204"/>
      <c r="C743" s="554"/>
      <c r="D743" s="554"/>
      <c r="E743" s="207"/>
      <c r="F743" s="555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spans="1:26" ht="11.25" customHeight="1">
      <c r="A744" s="337"/>
      <c r="B744" s="204"/>
      <c r="C744" s="554"/>
      <c r="D744" s="554"/>
      <c r="E744" s="207"/>
      <c r="F744" s="555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spans="1:26" ht="11.25" customHeight="1">
      <c r="A745" s="337"/>
      <c r="B745" s="204"/>
      <c r="C745" s="554"/>
      <c r="D745" s="554"/>
      <c r="E745" s="207"/>
      <c r="F745" s="555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spans="1:26" ht="11.25" customHeight="1">
      <c r="A746" s="337"/>
      <c r="B746" s="204"/>
      <c r="C746" s="554"/>
      <c r="D746" s="554"/>
      <c r="E746" s="207"/>
      <c r="F746" s="555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spans="1:26" ht="11.25" customHeight="1">
      <c r="A747" s="337"/>
      <c r="B747" s="204"/>
      <c r="C747" s="554"/>
      <c r="D747" s="554"/>
      <c r="E747" s="207"/>
      <c r="F747" s="555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spans="1:26" ht="11.25" customHeight="1">
      <c r="A748" s="337"/>
      <c r="B748" s="204"/>
      <c r="C748" s="554"/>
      <c r="D748" s="554"/>
      <c r="E748" s="207"/>
      <c r="F748" s="555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spans="1:26" ht="11.25" customHeight="1">
      <c r="A749" s="337"/>
      <c r="B749" s="204"/>
      <c r="C749" s="554"/>
      <c r="D749" s="554"/>
      <c r="E749" s="207"/>
      <c r="F749" s="555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spans="1:26" ht="11.25" customHeight="1">
      <c r="A750" s="337"/>
      <c r="B750" s="204"/>
      <c r="C750" s="554"/>
      <c r="D750" s="554"/>
      <c r="E750" s="207"/>
      <c r="F750" s="555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spans="1:26" ht="11.25" customHeight="1">
      <c r="A751" s="337"/>
      <c r="B751" s="204"/>
      <c r="C751" s="554"/>
      <c r="D751" s="554"/>
      <c r="E751" s="207"/>
      <c r="F751" s="555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spans="1:26" ht="11.25" customHeight="1">
      <c r="A752" s="337"/>
      <c r="B752" s="204"/>
      <c r="C752" s="554"/>
      <c r="D752" s="554"/>
      <c r="E752" s="207"/>
      <c r="F752" s="555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spans="1:26" ht="11.25" customHeight="1">
      <c r="A753" s="337"/>
      <c r="B753" s="204"/>
      <c r="C753" s="554"/>
      <c r="D753" s="554"/>
      <c r="E753" s="207"/>
      <c r="F753" s="555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spans="1:26" ht="11.25" customHeight="1">
      <c r="A754" s="337"/>
      <c r="B754" s="204"/>
      <c r="C754" s="554"/>
      <c r="D754" s="554"/>
      <c r="E754" s="207"/>
      <c r="F754" s="555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spans="1:26" ht="11.25" customHeight="1">
      <c r="A755" s="337"/>
      <c r="B755" s="204"/>
      <c r="C755" s="554"/>
      <c r="D755" s="554"/>
      <c r="E755" s="207"/>
      <c r="F755" s="555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spans="1:26" ht="11.25" customHeight="1">
      <c r="A756" s="337"/>
      <c r="B756" s="204"/>
      <c r="C756" s="554"/>
      <c r="D756" s="554"/>
      <c r="E756" s="207"/>
      <c r="F756" s="555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spans="1:26" ht="11.25" customHeight="1">
      <c r="A757" s="337"/>
      <c r="B757" s="204"/>
      <c r="C757" s="554"/>
      <c r="D757" s="554"/>
      <c r="E757" s="207"/>
      <c r="F757" s="555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spans="1:26" ht="11.25" customHeight="1">
      <c r="A758" s="337"/>
      <c r="B758" s="204"/>
      <c r="C758" s="554"/>
      <c r="D758" s="554"/>
      <c r="E758" s="207"/>
      <c r="F758" s="555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spans="1:26" ht="11.25" customHeight="1">
      <c r="A759" s="337"/>
      <c r="B759" s="204"/>
      <c r="C759" s="554"/>
      <c r="D759" s="554"/>
      <c r="E759" s="207"/>
      <c r="F759" s="555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spans="1:26" ht="11.25" customHeight="1">
      <c r="A760" s="337"/>
      <c r="B760" s="204"/>
      <c r="C760" s="554"/>
      <c r="D760" s="554"/>
      <c r="E760" s="207"/>
      <c r="F760" s="555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spans="1:26" ht="11.25" customHeight="1">
      <c r="A761" s="337"/>
      <c r="B761" s="204"/>
      <c r="C761" s="554"/>
      <c r="D761" s="554"/>
      <c r="E761" s="207"/>
      <c r="F761" s="555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spans="1:26" ht="11.25" customHeight="1">
      <c r="A762" s="337"/>
      <c r="B762" s="204"/>
      <c r="C762" s="554"/>
      <c r="D762" s="554"/>
      <c r="E762" s="207"/>
      <c r="F762" s="555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spans="1:26" ht="11.25" customHeight="1">
      <c r="A763" s="337"/>
      <c r="B763" s="204"/>
      <c r="C763" s="554"/>
      <c r="D763" s="554"/>
      <c r="E763" s="207"/>
      <c r="F763" s="555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spans="1:26" ht="11.25" customHeight="1">
      <c r="A764" s="337"/>
      <c r="B764" s="204"/>
      <c r="C764" s="554"/>
      <c r="D764" s="554"/>
      <c r="E764" s="207"/>
      <c r="F764" s="555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spans="1:26" ht="11.25" customHeight="1">
      <c r="A765" s="337"/>
      <c r="B765" s="204"/>
      <c r="C765" s="554"/>
      <c r="D765" s="554"/>
      <c r="E765" s="207"/>
      <c r="F765" s="555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spans="1:26" ht="11.25" customHeight="1">
      <c r="A766" s="337"/>
      <c r="B766" s="204"/>
      <c r="C766" s="554"/>
      <c r="D766" s="554"/>
      <c r="E766" s="207"/>
      <c r="F766" s="555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spans="1:26" ht="11.25" customHeight="1">
      <c r="A767" s="337"/>
      <c r="B767" s="204"/>
      <c r="C767" s="554"/>
      <c r="D767" s="554"/>
      <c r="E767" s="207"/>
      <c r="F767" s="555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spans="1:26" ht="11.25" customHeight="1">
      <c r="A768" s="337"/>
      <c r="B768" s="204"/>
      <c r="C768" s="554"/>
      <c r="D768" s="554"/>
      <c r="E768" s="207"/>
      <c r="F768" s="555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spans="1:26" ht="11.25" customHeight="1">
      <c r="A769" s="337"/>
      <c r="B769" s="204"/>
      <c r="C769" s="554"/>
      <c r="D769" s="554"/>
      <c r="E769" s="207"/>
      <c r="F769" s="555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spans="1:26" ht="11.25" customHeight="1">
      <c r="A770" s="337"/>
      <c r="B770" s="204"/>
      <c r="C770" s="554"/>
      <c r="D770" s="554"/>
      <c r="E770" s="207"/>
      <c r="F770" s="555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spans="1:26" ht="11.25" customHeight="1">
      <c r="A771" s="337"/>
      <c r="B771" s="204"/>
      <c r="C771" s="554"/>
      <c r="D771" s="554"/>
      <c r="E771" s="207"/>
      <c r="F771" s="555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spans="1:26" ht="11.25" customHeight="1">
      <c r="A772" s="337"/>
      <c r="B772" s="204"/>
      <c r="C772" s="554"/>
      <c r="D772" s="554"/>
      <c r="E772" s="207"/>
      <c r="F772" s="555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spans="1:26" ht="11.25" customHeight="1">
      <c r="A773" s="337"/>
      <c r="B773" s="204"/>
      <c r="C773" s="554"/>
      <c r="D773" s="554"/>
      <c r="E773" s="207"/>
      <c r="F773" s="555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spans="1:26" ht="11.25" customHeight="1">
      <c r="A774" s="337"/>
      <c r="B774" s="204"/>
      <c r="C774" s="554"/>
      <c r="D774" s="554"/>
      <c r="E774" s="207"/>
      <c r="F774" s="555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spans="1:26" ht="11.25" customHeight="1">
      <c r="A775" s="337"/>
      <c r="B775" s="204"/>
      <c r="C775" s="554"/>
      <c r="D775" s="554"/>
      <c r="E775" s="207"/>
      <c r="F775" s="555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spans="1:26" ht="11.25" customHeight="1">
      <c r="A776" s="337"/>
      <c r="B776" s="204"/>
      <c r="C776" s="554"/>
      <c r="D776" s="554"/>
      <c r="E776" s="207"/>
      <c r="F776" s="555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spans="1:26" ht="11.25" customHeight="1">
      <c r="A777" s="337"/>
      <c r="B777" s="204"/>
      <c r="C777" s="554"/>
      <c r="D777" s="554"/>
      <c r="E777" s="207"/>
      <c r="F777" s="555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spans="1:26" ht="11.25" customHeight="1">
      <c r="A778" s="337"/>
      <c r="B778" s="204"/>
      <c r="C778" s="554"/>
      <c r="D778" s="554"/>
      <c r="E778" s="207"/>
      <c r="F778" s="555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spans="1:26" ht="11.25" customHeight="1">
      <c r="A779" s="337"/>
      <c r="B779" s="204"/>
      <c r="C779" s="554"/>
      <c r="D779" s="554"/>
      <c r="E779" s="207"/>
      <c r="F779" s="555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spans="1:26" ht="11.25" customHeight="1">
      <c r="A780" s="337"/>
      <c r="B780" s="204"/>
      <c r="C780" s="554"/>
      <c r="D780" s="554"/>
      <c r="E780" s="207"/>
      <c r="F780" s="555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spans="1:26" ht="11.25" customHeight="1">
      <c r="A781" s="337"/>
      <c r="B781" s="204"/>
      <c r="C781" s="554"/>
      <c r="D781" s="554"/>
      <c r="E781" s="207"/>
      <c r="F781" s="555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spans="1:26" ht="11.25" customHeight="1">
      <c r="A782" s="337"/>
      <c r="B782" s="204"/>
      <c r="C782" s="554"/>
      <c r="D782" s="554"/>
      <c r="E782" s="207"/>
      <c r="F782" s="555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spans="1:26" ht="11.25" customHeight="1">
      <c r="A783" s="337"/>
      <c r="B783" s="204"/>
      <c r="C783" s="554"/>
      <c r="D783" s="554"/>
      <c r="E783" s="207"/>
      <c r="F783" s="555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spans="1:26" ht="11.25" customHeight="1">
      <c r="A784" s="337"/>
      <c r="B784" s="204"/>
      <c r="C784" s="554"/>
      <c r="D784" s="554"/>
      <c r="E784" s="207"/>
      <c r="F784" s="555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spans="1:26" ht="11.25" customHeight="1">
      <c r="A785" s="337"/>
      <c r="B785" s="204"/>
      <c r="C785" s="554"/>
      <c r="D785" s="554"/>
      <c r="E785" s="207"/>
      <c r="F785" s="555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spans="1:26" ht="11.25" customHeight="1">
      <c r="A786" s="337"/>
      <c r="B786" s="204"/>
      <c r="C786" s="554"/>
      <c r="D786" s="554"/>
      <c r="E786" s="207"/>
      <c r="F786" s="555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spans="1:26" ht="11.25" customHeight="1">
      <c r="A787" s="337"/>
      <c r="B787" s="204"/>
      <c r="C787" s="554"/>
      <c r="D787" s="554"/>
      <c r="E787" s="207"/>
      <c r="F787" s="555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spans="1:26" ht="11.25" customHeight="1">
      <c r="A788" s="337"/>
      <c r="B788" s="204"/>
      <c r="C788" s="554"/>
      <c r="D788" s="554"/>
      <c r="E788" s="207"/>
      <c r="F788" s="555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spans="1:26" ht="11.25" customHeight="1">
      <c r="A789" s="337"/>
      <c r="B789" s="204"/>
      <c r="C789" s="554"/>
      <c r="D789" s="554"/>
      <c r="E789" s="207"/>
      <c r="F789" s="555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spans="1:26" ht="11.25" customHeight="1">
      <c r="A790" s="337"/>
      <c r="B790" s="204"/>
      <c r="C790" s="554"/>
      <c r="D790" s="554"/>
      <c r="E790" s="207"/>
      <c r="F790" s="555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spans="1:26" ht="11.25" customHeight="1">
      <c r="A791" s="337"/>
      <c r="B791" s="204"/>
      <c r="C791" s="554"/>
      <c r="D791" s="554"/>
      <c r="E791" s="207"/>
      <c r="F791" s="555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spans="1:26" ht="11.25" customHeight="1">
      <c r="A792" s="337"/>
      <c r="B792" s="204"/>
      <c r="C792" s="554"/>
      <c r="D792" s="554"/>
      <c r="E792" s="207"/>
      <c r="F792" s="555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spans="1:26" ht="11.25" customHeight="1">
      <c r="A793" s="337"/>
      <c r="B793" s="204"/>
      <c r="C793" s="554"/>
      <c r="D793" s="554"/>
      <c r="E793" s="207"/>
      <c r="F793" s="555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spans="1:26" ht="11.25" customHeight="1">
      <c r="A794" s="337"/>
      <c r="B794" s="204"/>
      <c r="C794" s="554"/>
      <c r="D794" s="554"/>
      <c r="E794" s="207"/>
      <c r="F794" s="555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spans="1:26" ht="11.25" customHeight="1">
      <c r="A795" s="337"/>
      <c r="B795" s="204"/>
      <c r="C795" s="554"/>
      <c r="D795" s="554"/>
      <c r="E795" s="207"/>
      <c r="F795" s="555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spans="1:26" ht="11.25" customHeight="1">
      <c r="A796" s="337"/>
      <c r="B796" s="204"/>
      <c r="C796" s="554"/>
      <c r="D796" s="554"/>
      <c r="E796" s="207"/>
      <c r="F796" s="555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spans="1:26" ht="11.25" customHeight="1">
      <c r="A797" s="337"/>
      <c r="B797" s="204"/>
      <c r="C797" s="554"/>
      <c r="D797" s="554"/>
      <c r="E797" s="207"/>
      <c r="F797" s="555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spans="1:26" ht="11.25" customHeight="1">
      <c r="A798" s="337"/>
      <c r="B798" s="204"/>
      <c r="C798" s="554"/>
      <c r="D798" s="554"/>
      <c r="E798" s="207"/>
      <c r="F798" s="555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spans="1:26" ht="11.25" customHeight="1">
      <c r="A799" s="337"/>
      <c r="B799" s="204"/>
      <c r="C799" s="554"/>
      <c r="D799" s="554"/>
      <c r="E799" s="207"/>
      <c r="F799" s="555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spans="1:26" ht="11.25" customHeight="1">
      <c r="A800" s="337"/>
      <c r="B800" s="204"/>
      <c r="C800" s="554"/>
      <c r="D800" s="554"/>
      <c r="E800" s="207"/>
      <c r="F800" s="555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spans="1:26" ht="11.25" customHeight="1">
      <c r="A801" s="337"/>
      <c r="B801" s="204"/>
      <c r="C801" s="554"/>
      <c r="D801" s="554"/>
      <c r="E801" s="207"/>
      <c r="F801" s="555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spans="1:26" ht="11.25" customHeight="1">
      <c r="A802" s="337"/>
      <c r="B802" s="204"/>
      <c r="C802" s="554"/>
      <c r="D802" s="554"/>
      <c r="E802" s="207"/>
      <c r="F802" s="555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spans="1:26" ht="11.25" customHeight="1">
      <c r="A803" s="337"/>
      <c r="B803" s="204"/>
      <c r="C803" s="554"/>
      <c r="D803" s="554"/>
      <c r="E803" s="207"/>
      <c r="F803" s="555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spans="1:26" ht="11.25" customHeight="1">
      <c r="A804" s="337"/>
      <c r="B804" s="204"/>
      <c r="C804" s="554"/>
      <c r="D804" s="554"/>
      <c r="E804" s="207"/>
      <c r="F804" s="555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spans="1:26" ht="11.25" customHeight="1">
      <c r="A805" s="337"/>
      <c r="B805" s="204"/>
      <c r="C805" s="554"/>
      <c r="D805" s="554"/>
      <c r="E805" s="207"/>
      <c r="F805" s="555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spans="1:26" ht="11.25" customHeight="1">
      <c r="A806" s="337"/>
      <c r="B806" s="204"/>
      <c r="C806" s="554"/>
      <c r="D806" s="554"/>
      <c r="E806" s="207"/>
      <c r="F806" s="555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spans="1:26" ht="11.25" customHeight="1">
      <c r="A807" s="337"/>
      <c r="B807" s="204"/>
      <c r="C807" s="554"/>
      <c r="D807" s="554"/>
      <c r="E807" s="207"/>
      <c r="F807" s="555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spans="1:26" ht="11.25" customHeight="1">
      <c r="A808" s="337"/>
      <c r="B808" s="204"/>
      <c r="C808" s="554"/>
      <c r="D808" s="554"/>
      <c r="E808" s="207"/>
      <c r="F808" s="555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spans="1:26" ht="11.25" customHeight="1">
      <c r="A809" s="337"/>
      <c r="B809" s="204"/>
      <c r="C809" s="554"/>
      <c r="D809" s="554"/>
      <c r="E809" s="207"/>
      <c r="F809" s="555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spans="1:26" ht="11.25" customHeight="1">
      <c r="A810" s="337"/>
      <c r="B810" s="204"/>
      <c r="C810" s="554"/>
      <c r="D810" s="554"/>
      <c r="E810" s="207"/>
      <c r="F810" s="555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spans="1:26" ht="11.25" customHeight="1">
      <c r="A811" s="337"/>
      <c r="B811" s="204"/>
      <c r="C811" s="554"/>
      <c r="D811" s="554"/>
      <c r="E811" s="207"/>
      <c r="F811" s="555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spans="1:26" ht="11.25" customHeight="1">
      <c r="A812" s="337"/>
      <c r="B812" s="204"/>
      <c r="C812" s="554"/>
      <c r="D812" s="554"/>
      <c r="E812" s="207"/>
      <c r="F812" s="555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spans="1:26" ht="11.25" customHeight="1">
      <c r="A813" s="337"/>
      <c r="B813" s="204"/>
      <c r="C813" s="554"/>
      <c r="D813" s="554"/>
      <c r="E813" s="207"/>
      <c r="F813" s="555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spans="1:26" ht="11.25" customHeight="1">
      <c r="A814" s="337"/>
      <c r="B814" s="204"/>
      <c r="C814" s="554"/>
      <c r="D814" s="554"/>
      <c r="E814" s="207"/>
      <c r="F814" s="555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spans="1:26" ht="11.25" customHeight="1">
      <c r="A815" s="337"/>
      <c r="B815" s="204"/>
      <c r="C815" s="554"/>
      <c r="D815" s="554"/>
      <c r="E815" s="207"/>
      <c r="F815" s="555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spans="1:26" ht="11.25" customHeight="1">
      <c r="A816" s="337"/>
      <c r="B816" s="204"/>
      <c r="C816" s="554"/>
      <c r="D816" s="554"/>
      <c r="E816" s="207"/>
      <c r="F816" s="555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spans="1:26" ht="11.25" customHeight="1">
      <c r="A817" s="337"/>
      <c r="B817" s="204"/>
      <c r="C817" s="554"/>
      <c r="D817" s="554"/>
      <c r="E817" s="207"/>
      <c r="F817" s="555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spans="1:26" ht="11.25" customHeight="1">
      <c r="A818" s="337"/>
      <c r="B818" s="204"/>
      <c r="C818" s="554"/>
      <c r="D818" s="554"/>
      <c r="E818" s="207"/>
      <c r="F818" s="555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spans="1:26" ht="11.25" customHeight="1">
      <c r="A819" s="337"/>
      <c r="B819" s="204"/>
      <c r="C819" s="554"/>
      <c r="D819" s="554"/>
      <c r="E819" s="207"/>
      <c r="F819" s="555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spans="1:26" ht="11.25" customHeight="1">
      <c r="A820" s="337"/>
      <c r="B820" s="204"/>
      <c r="C820" s="554"/>
      <c r="D820" s="554"/>
      <c r="E820" s="207"/>
      <c r="F820" s="555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spans="1:26" ht="11.25" customHeight="1">
      <c r="A821" s="337"/>
      <c r="B821" s="204"/>
      <c r="C821" s="554"/>
      <c r="D821" s="554"/>
      <c r="E821" s="207"/>
      <c r="F821" s="555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spans="1:26" ht="11.25" customHeight="1">
      <c r="A822" s="337"/>
      <c r="B822" s="204"/>
      <c r="C822" s="554"/>
      <c r="D822" s="554"/>
      <c r="E822" s="207"/>
      <c r="F822" s="555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spans="1:26" ht="11.25" customHeight="1">
      <c r="A823" s="337"/>
      <c r="B823" s="204"/>
      <c r="C823" s="554"/>
      <c r="D823" s="554"/>
      <c r="E823" s="207"/>
      <c r="F823" s="555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spans="1:26" ht="11.25" customHeight="1">
      <c r="A824" s="337"/>
      <c r="B824" s="204"/>
      <c r="C824" s="554"/>
      <c r="D824" s="554"/>
      <c r="E824" s="207"/>
      <c r="F824" s="555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spans="1:26" ht="11.25" customHeight="1">
      <c r="A825" s="337"/>
      <c r="B825" s="204"/>
      <c r="C825" s="554"/>
      <c r="D825" s="554"/>
      <c r="E825" s="207"/>
      <c r="F825" s="555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spans="1:26" ht="11.25" customHeight="1">
      <c r="A826" s="337"/>
      <c r="B826" s="204"/>
      <c r="C826" s="554"/>
      <c r="D826" s="554"/>
      <c r="E826" s="207"/>
      <c r="F826" s="555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spans="1:26" ht="11.25" customHeight="1">
      <c r="A827" s="337"/>
      <c r="B827" s="204"/>
      <c r="C827" s="554"/>
      <c r="D827" s="554"/>
      <c r="E827" s="207"/>
      <c r="F827" s="555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spans="1:26" ht="11.25" customHeight="1">
      <c r="A828" s="337"/>
      <c r="B828" s="204"/>
      <c r="C828" s="554"/>
      <c r="D828" s="554"/>
      <c r="E828" s="207"/>
      <c r="F828" s="555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spans="1:26" ht="11.25" customHeight="1">
      <c r="A829" s="337"/>
      <c r="B829" s="204"/>
      <c r="C829" s="554"/>
      <c r="D829" s="554"/>
      <c r="E829" s="207"/>
      <c r="F829" s="555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spans="1:26" ht="11.25" customHeight="1">
      <c r="A830" s="337"/>
      <c r="B830" s="204"/>
      <c r="C830" s="554"/>
      <c r="D830" s="554"/>
      <c r="E830" s="207"/>
      <c r="F830" s="555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spans="1:26" ht="11.25" customHeight="1">
      <c r="A831" s="337"/>
      <c r="B831" s="204"/>
      <c r="C831" s="554"/>
      <c r="D831" s="554"/>
      <c r="E831" s="207"/>
      <c r="F831" s="555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spans="1:26" ht="11.25" customHeight="1">
      <c r="A832" s="337"/>
      <c r="B832" s="204"/>
      <c r="C832" s="554"/>
      <c r="D832" s="554"/>
      <c r="E832" s="207"/>
      <c r="F832" s="555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spans="1:26" ht="11.25" customHeight="1">
      <c r="A833" s="337"/>
      <c r="B833" s="204"/>
      <c r="C833" s="554"/>
      <c r="D833" s="554"/>
      <c r="E833" s="207"/>
      <c r="F833" s="555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spans="1:26" ht="11.25" customHeight="1">
      <c r="A834" s="337"/>
      <c r="B834" s="204"/>
      <c r="C834" s="554"/>
      <c r="D834" s="554"/>
      <c r="E834" s="207"/>
      <c r="F834" s="555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spans="1:26" ht="11.25" customHeight="1">
      <c r="A835" s="337"/>
      <c r="B835" s="204"/>
      <c r="C835" s="554"/>
      <c r="D835" s="554"/>
      <c r="E835" s="207"/>
      <c r="F835" s="555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spans="1:26" ht="11.25" customHeight="1">
      <c r="A836" s="337"/>
      <c r="B836" s="204"/>
      <c r="C836" s="554"/>
      <c r="D836" s="554"/>
      <c r="E836" s="207"/>
      <c r="F836" s="555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spans="1:26" ht="11.25" customHeight="1">
      <c r="A837" s="337"/>
      <c r="B837" s="204"/>
      <c r="C837" s="554"/>
      <c r="D837" s="554"/>
      <c r="E837" s="207"/>
      <c r="F837" s="555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spans="1:26" ht="11.25" customHeight="1">
      <c r="A838" s="337"/>
      <c r="B838" s="204"/>
      <c r="C838" s="554"/>
      <c r="D838" s="554"/>
      <c r="E838" s="207"/>
      <c r="F838" s="555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spans="1:26" ht="11.25" customHeight="1">
      <c r="A839" s="337"/>
      <c r="B839" s="204"/>
      <c r="C839" s="554"/>
      <c r="D839" s="554"/>
      <c r="E839" s="207"/>
      <c r="F839" s="555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spans="1:26" ht="11.25" customHeight="1">
      <c r="A840" s="337"/>
      <c r="B840" s="204"/>
      <c r="C840" s="554"/>
      <c r="D840" s="554"/>
      <c r="E840" s="207"/>
      <c r="F840" s="555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spans="1:26" ht="11.25" customHeight="1">
      <c r="A841" s="337"/>
      <c r="B841" s="204"/>
      <c r="C841" s="554"/>
      <c r="D841" s="554"/>
      <c r="E841" s="207"/>
      <c r="F841" s="555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spans="1:26" ht="11.25" customHeight="1">
      <c r="A842" s="337"/>
      <c r="B842" s="204"/>
      <c r="C842" s="554"/>
      <c r="D842" s="554"/>
      <c r="E842" s="207"/>
      <c r="F842" s="555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spans="1:26" ht="11.25" customHeight="1">
      <c r="A843" s="337"/>
      <c r="B843" s="204"/>
      <c r="C843" s="554"/>
      <c r="D843" s="554"/>
      <c r="E843" s="207"/>
      <c r="F843" s="555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spans="1:26" ht="11.25" customHeight="1">
      <c r="A844" s="337"/>
      <c r="B844" s="204"/>
      <c r="C844" s="554"/>
      <c r="D844" s="554"/>
      <c r="E844" s="207"/>
      <c r="F844" s="555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spans="1:26" ht="11.25" customHeight="1">
      <c r="A845" s="337"/>
      <c r="B845" s="204"/>
      <c r="C845" s="554"/>
      <c r="D845" s="554"/>
      <c r="E845" s="207"/>
      <c r="F845" s="555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spans="1:26" ht="11.25" customHeight="1">
      <c r="A846" s="337"/>
      <c r="B846" s="204"/>
      <c r="C846" s="554"/>
      <c r="D846" s="554"/>
      <c r="E846" s="207"/>
      <c r="F846" s="555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spans="1:26" ht="11.25" customHeight="1">
      <c r="A847" s="337"/>
      <c r="B847" s="204"/>
      <c r="C847" s="554"/>
      <c r="D847" s="554"/>
      <c r="E847" s="207"/>
      <c r="F847" s="555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spans="1:26" ht="11.25" customHeight="1">
      <c r="A848" s="337"/>
      <c r="B848" s="204"/>
      <c r="C848" s="554"/>
      <c r="D848" s="554"/>
      <c r="E848" s="207"/>
      <c r="F848" s="555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spans="1:26" ht="11.25" customHeight="1">
      <c r="A849" s="337"/>
      <c r="B849" s="204"/>
      <c r="C849" s="554"/>
      <c r="D849" s="554"/>
      <c r="E849" s="207"/>
      <c r="F849" s="555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spans="1:26" ht="11.25" customHeight="1">
      <c r="A850" s="337"/>
      <c r="B850" s="204"/>
      <c r="C850" s="554"/>
      <c r="D850" s="554"/>
      <c r="E850" s="207"/>
      <c r="F850" s="555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spans="1:26" ht="11.25" customHeight="1">
      <c r="A851" s="337"/>
      <c r="B851" s="204"/>
      <c r="C851" s="554"/>
      <c r="D851" s="554"/>
      <c r="E851" s="207"/>
      <c r="F851" s="555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spans="1:26" ht="11.25" customHeight="1">
      <c r="A852" s="337"/>
      <c r="B852" s="204"/>
      <c r="C852" s="554"/>
      <c r="D852" s="554"/>
      <c r="E852" s="207"/>
      <c r="F852" s="555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spans="1:26" ht="11.25" customHeight="1">
      <c r="A853" s="337"/>
      <c r="B853" s="204"/>
      <c r="C853" s="554"/>
      <c r="D853" s="554"/>
      <c r="E853" s="207"/>
      <c r="F853" s="555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spans="1:26" ht="11.25" customHeight="1">
      <c r="A854" s="337"/>
      <c r="B854" s="204"/>
      <c r="C854" s="554"/>
      <c r="D854" s="554"/>
      <c r="E854" s="207"/>
      <c r="F854" s="555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spans="1:26" ht="11.25" customHeight="1">
      <c r="A855" s="337"/>
      <c r="B855" s="204"/>
      <c r="C855" s="554"/>
      <c r="D855" s="554"/>
      <c r="E855" s="207"/>
      <c r="F855" s="555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spans="1:26" ht="11.25" customHeight="1">
      <c r="A856" s="337"/>
      <c r="B856" s="204"/>
      <c r="C856" s="554"/>
      <c r="D856" s="554"/>
      <c r="E856" s="207"/>
      <c r="F856" s="555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spans="1:26" ht="11.25" customHeight="1">
      <c r="A857" s="337"/>
      <c r="B857" s="204"/>
      <c r="C857" s="554"/>
      <c r="D857" s="554"/>
      <c r="E857" s="207"/>
      <c r="F857" s="555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spans="1:26" ht="11.25" customHeight="1">
      <c r="A858" s="337"/>
      <c r="B858" s="204"/>
      <c r="C858" s="554"/>
      <c r="D858" s="554"/>
      <c r="E858" s="207"/>
      <c r="F858" s="555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spans="1:26" ht="11.25" customHeight="1">
      <c r="A859" s="337"/>
      <c r="B859" s="204"/>
      <c r="C859" s="554"/>
      <c r="D859" s="554"/>
      <c r="E859" s="207"/>
      <c r="F859" s="555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spans="1:26" ht="11.25" customHeight="1">
      <c r="A860" s="337"/>
      <c r="B860" s="204"/>
      <c r="C860" s="554"/>
      <c r="D860" s="554"/>
      <c r="E860" s="207"/>
      <c r="F860" s="555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spans="1:26" ht="11.25" customHeight="1">
      <c r="A861" s="337"/>
      <c r="B861" s="204"/>
      <c r="C861" s="554"/>
      <c r="D861" s="554"/>
      <c r="E861" s="207"/>
      <c r="F861" s="555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spans="1:26" ht="11.25" customHeight="1">
      <c r="A862" s="337"/>
      <c r="B862" s="204"/>
      <c r="C862" s="554"/>
      <c r="D862" s="554"/>
      <c r="E862" s="207"/>
      <c r="F862" s="555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spans="1:26" ht="11.25" customHeight="1">
      <c r="A863" s="337"/>
      <c r="B863" s="204"/>
      <c r="C863" s="554"/>
      <c r="D863" s="554"/>
      <c r="E863" s="207"/>
      <c r="F863" s="555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spans="1:26" ht="11.25" customHeight="1">
      <c r="A864" s="337"/>
      <c r="B864" s="204"/>
      <c r="C864" s="554"/>
      <c r="D864" s="554"/>
      <c r="E864" s="207"/>
      <c r="F864" s="555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spans="1:26" ht="11.25" customHeight="1">
      <c r="A865" s="337"/>
      <c r="B865" s="204"/>
      <c r="C865" s="554"/>
      <c r="D865" s="554"/>
      <c r="E865" s="207"/>
      <c r="F865" s="555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spans="1:26" ht="11.25" customHeight="1">
      <c r="A866" s="337"/>
      <c r="B866" s="204"/>
      <c r="C866" s="554"/>
      <c r="D866" s="554"/>
      <c r="E866" s="207"/>
      <c r="F866" s="555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spans="1:26" ht="11.25" customHeight="1">
      <c r="A867" s="337"/>
      <c r="B867" s="204"/>
      <c r="C867" s="554"/>
      <c r="D867" s="554"/>
      <c r="E867" s="207"/>
      <c r="F867" s="555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spans="1:26" ht="11.25" customHeight="1">
      <c r="A868" s="337"/>
      <c r="B868" s="204"/>
      <c r="C868" s="554"/>
      <c r="D868" s="554"/>
      <c r="E868" s="207"/>
      <c r="F868" s="555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spans="1:26" ht="11.25" customHeight="1">
      <c r="A869" s="337"/>
      <c r="B869" s="204"/>
      <c r="C869" s="554"/>
      <c r="D869" s="554"/>
      <c r="E869" s="207"/>
      <c r="F869" s="555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spans="1:26" ht="11.25" customHeight="1">
      <c r="A870" s="337"/>
      <c r="B870" s="204"/>
      <c r="C870" s="554"/>
      <c r="D870" s="554"/>
      <c r="E870" s="207"/>
      <c r="F870" s="555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spans="1:26" ht="11.25" customHeight="1">
      <c r="A871" s="337"/>
      <c r="B871" s="204"/>
      <c r="C871" s="554"/>
      <c r="D871" s="554"/>
      <c r="E871" s="207"/>
      <c r="F871" s="555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spans="1:26" ht="11.25" customHeight="1">
      <c r="A872" s="337"/>
      <c r="B872" s="204"/>
      <c r="C872" s="554"/>
      <c r="D872" s="554"/>
      <c r="E872" s="207"/>
      <c r="F872" s="555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spans="1:26" ht="11.25" customHeight="1">
      <c r="A873" s="337"/>
      <c r="B873" s="204"/>
      <c r="C873" s="554"/>
      <c r="D873" s="554"/>
      <c r="E873" s="207"/>
      <c r="F873" s="555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spans="1:26" ht="11.25" customHeight="1">
      <c r="A874" s="337"/>
      <c r="B874" s="204"/>
      <c r="C874" s="554"/>
      <c r="D874" s="554"/>
      <c r="E874" s="207"/>
      <c r="F874" s="555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spans="1:26" ht="11.25" customHeight="1">
      <c r="A875" s="337"/>
      <c r="B875" s="204"/>
      <c r="C875" s="554"/>
      <c r="D875" s="554"/>
      <c r="E875" s="207"/>
      <c r="F875" s="555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spans="1:26" ht="11.25" customHeight="1">
      <c r="A876" s="337"/>
      <c r="B876" s="204"/>
      <c r="C876" s="554"/>
      <c r="D876" s="554"/>
      <c r="E876" s="207"/>
      <c r="F876" s="555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spans="1:26" ht="11.25" customHeight="1">
      <c r="A877" s="337"/>
      <c r="B877" s="204"/>
      <c r="C877" s="554"/>
      <c r="D877" s="554"/>
      <c r="E877" s="207"/>
      <c r="F877" s="555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spans="1:26" ht="11.25" customHeight="1">
      <c r="A878" s="337"/>
      <c r="B878" s="204"/>
      <c r="C878" s="554"/>
      <c r="D878" s="554"/>
      <c r="E878" s="207"/>
      <c r="F878" s="555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spans="1:26" ht="11.25" customHeight="1">
      <c r="A879" s="337"/>
      <c r="B879" s="204"/>
      <c r="C879" s="554"/>
      <c r="D879" s="554"/>
      <c r="E879" s="207"/>
      <c r="F879" s="555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spans="1:26" ht="11.25" customHeight="1">
      <c r="A880" s="337"/>
      <c r="B880" s="204"/>
      <c r="C880" s="554"/>
      <c r="D880" s="554"/>
      <c r="E880" s="207"/>
      <c r="F880" s="555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spans="1:26" ht="11.25" customHeight="1">
      <c r="A881" s="337"/>
      <c r="B881" s="204"/>
      <c r="C881" s="554"/>
      <c r="D881" s="554"/>
      <c r="E881" s="207"/>
      <c r="F881" s="555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spans="1:26" ht="11.25" customHeight="1">
      <c r="A882" s="337"/>
      <c r="B882" s="204"/>
      <c r="C882" s="554"/>
      <c r="D882" s="554"/>
      <c r="E882" s="207"/>
      <c r="F882" s="555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spans="1:26" ht="11.25" customHeight="1">
      <c r="A883" s="337"/>
      <c r="B883" s="204"/>
      <c r="C883" s="554"/>
      <c r="D883" s="554"/>
      <c r="E883" s="207"/>
      <c r="F883" s="555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spans="1:26" ht="11.25" customHeight="1">
      <c r="A884" s="337"/>
      <c r="B884" s="204"/>
      <c r="C884" s="554"/>
      <c r="D884" s="554"/>
      <c r="E884" s="207"/>
      <c r="F884" s="555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spans="1:26" ht="11.25" customHeight="1">
      <c r="A885" s="337"/>
      <c r="B885" s="204"/>
      <c r="C885" s="554"/>
      <c r="D885" s="554"/>
      <c r="E885" s="207"/>
      <c r="F885" s="555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spans="1:26" ht="11.25" customHeight="1">
      <c r="A886" s="337"/>
      <c r="B886" s="204"/>
      <c r="C886" s="554"/>
      <c r="D886" s="554"/>
      <c r="E886" s="207"/>
      <c r="F886" s="555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spans="1:26" ht="11.25" customHeight="1">
      <c r="A887" s="337"/>
      <c r="B887" s="204"/>
      <c r="C887" s="554"/>
      <c r="D887" s="554"/>
      <c r="E887" s="207"/>
      <c r="F887" s="555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spans="1:26" ht="11.25" customHeight="1">
      <c r="A888" s="337"/>
      <c r="B888" s="204"/>
      <c r="C888" s="554"/>
      <c r="D888" s="554"/>
      <c r="E888" s="207"/>
      <c r="F888" s="555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spans="1:26" ht="11.25" customHeight="1">
      <c r="A889" s="337"/>
      <c r="B889" s="204"/>
      <c r="C889" s="554"/>
      <c r="D889" s="554"/>
      <c r="E889" s="207"/>
      <c r="F889" s="555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spans="1:26" ht="11.25" customHeight="1">
      <c r="A890" s="337"/>
      <c r="B890" s="204"/>
      <c r="C890" s="554"/>
      <c r="D890" s="554"/>
      <c r="E890" s="207"/>
      <c r="F890" s="555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spans="1:26" ht="11.25" customHeight="1">
      <c r="A891" s="337"/>
      <c r="B891" s="204"/>
      <c r="C891" s="554"/>
      <c r="D891" s="554"/>
      <c r="E891" s="207"/>
      <c r="F891" s="555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spans="1:26" ht="11.25" customHeight="1">
      <c r="A892" s="337"/>
      <c r="B892" s="204"/>
      <c r="C892" s="554"/>
      <c r="D892" s="554"/>
      <c r="E892" s="207"/>
      <c r="F892" s="555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spans="1:26" ht="11.25" customHeight="1">
      <c r="A893" s="337"/>
      <c r="B893" s="204"/>
      <c r="C893" s="554"/>
      <c r="D893" s="554"/>
      <c r="E893" s="207"/>
      <c r="F893" s="555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spans="1:26" ht="11.25" customHeight="1">
      <c r="A894" s="337"/>
      <c r="B894" s="204"/>
      <c r="C894" s="554"/>
      <c r="D894" s="554"/>
      <c r="E894" s="207"/>
      <c r="F894" s="555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spans="1:26" ht="11.25" customHeight="1">
      <c r="A895" s="337"/>
      <c r="B895" s="204"/>
      <c r="C895" s="554"/>
      <c r="D895" s="554"/>
      <c r="E895" s="207"/>
      <c r="F895" s="555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spans="1:26" ht="11.25" customHeight="1">
      <c r="A896" s="337"/>
      <c r="B896" s="204"/>
      <c r="C896" s="554"/>
      <c r="D896" s="554"/>
      <c r="E896" s="207"/>
      <c r="F896" s="555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spans="1:26" ht="11.25" customHeight="1">
      <c r="A897" s="337"/>
      <c r="B897" s="204"/>
      <c r="C897" s="554"/>
      <c r="D897" s="554"/>
      <c r="E897" s="207"/>
      <c r="F897" s="555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spans="1:26" ht="11.25" customHeight="1">
      <c r="A898" s="337"/>
      <c r="B898" s="204"/>
      <c r="C898" s="554"/>
      <c r="D898" s="554"/>
      <c r="E898" s="207"/>
      <c r="F898" s="555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spans="1:26" ht="11.25" customHeight="1">
      <c r="A899" s="337"/>
      <c r="B899" s="204"/>
      <c r="C899" s="554"/>
      <c r="D899" s="554"/>
      <c r="E899" s="207"/>
      <c r="F899" s="555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spans="1:26" ht="11.25" customHeight="1">
      <c r="A900" s="337"/>
      <c r="B900" s="204"/>
      <c r="C900" s="554"/>
      <c r="D900" s="554"/>
      <c r="E900" s="207"/>
      <c r="F900" s="555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spans="1:26" ht="11.25" customHeight="1">
      <c r="A901" s="337"/>
      <c r="B901" s="204"/>
      <c r="C901" s="554"/>
      <c r="D901" s="554"/>
      <c r="E901" s="207"/>
      <c r="F901" s="555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spans="1:26" ht="11.25" customHeight="1">
      <c r="A902" s="337"/>
      <c r="B902" s="204"/>
      <c r="C902" s="554"/>
      <c r="D902" s="554"/>
      <c r="E902" s="207"/>
      <c r="F902" s="555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spans="1:26" ht="11.25" customHeight="1">
      <c r="A903" s="337"/>
      <c r="B903" s="204"/>
      <c r="C903" s="554"/>
      <c r="D903" s="554"/>
      <c r="E903" s="207"/>
      <c r="F903" s="555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spans="1:26" ht="11.25" customHeight="1">
      <c r="A904" s="337"/>
      <c r="B904" s="204"/>
      <c r="C904" s="554"/>
      <c r="D904" s="554"/>
      <c r="E904" s="207"/>
      <c r="F904" s="555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spans="1:26" ht="11.25" customHeight="1">
      <c r="A905" s="337"/>
      <c r="B905" s="204"/>
      <c r="C905" s="554"/>
      <c r="D905" s="554"/>
      <c r="E905" s="207"/>
      <c r="F905" s="555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spans="1:26" ht="11.25" customHeight="1">
      <c r="A906" s="337"/>
      <c r="B906" s="204"/>
      <c r="C906" s="554"/>
      <c r="D906" s="554"/>
      <c r="E906" s="207"/>
      <c r="F906" s="555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spans="1:26" ht="11.25" customHeight="1">
      <c r="A907" s="337"/>
      <c r="B907" s="204"/>
      <c r="C907" s="554"/>
      <c r="D907" s="554"/>
      <c r="E907" s="207"/>
      <c r="F907" s="555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spans="1:26" ht="11.25" customHeight="1">
      <c r="A908" s="337"/>
      <c r="B908" s="204"/>
      <c r="C908" s="554"/>
      <c r="D908" s="554"/>
      <c r="E908" s="207"/>
      <c r="F908" s="555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spans="1:26" ht="11.25" customHeight="1">
      <c r="A909" s="337"/>
      <c r="B909" s="204"/>
      <c r="C909" s="554"/>
      <c r="D909" s="554"/>
      <c r="E909" s="207"/>
      <c r="F909" s="555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spans="1:26" ht="11.25" customHeight="1">
      <c r="A910" s="337"/>
      <c r="B910" s="204"/>
      <c r="C910" s="554"/>
      <c r="D910" s="554"/>
      <c r="E910" s="207"/>
      <c r="F910" s="555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spans="1:26" ht="11.25" customHeight="1">
      <c r="A911" s="337"/>
      <c r="B911" s="204"/>
      <c r="C911" s="554"/>
      <c r="D911" s="554"/>
      <c r="E911" s="207"/>
      <c r="F911" s="555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spans="1:26" ht="11.25" customHeight="1">
      <c r="A912" s="337"/>
      <c r="B912" s="204"/>
      <c r="C912" s="554"/>
      <c r="D912" s="554"/>
      <c r="E912" s="207"/>
      <c r="F912" s="555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spans="1:26" ht="11.25" customHeight="1">
      <c r="A913" s="337"/>
      <c r="B913" s="204"/>
      <c r="C913" s="554"/>
      <c r="D913" s="554"/>
      <c r="E913" s="207"/>
      <c r="F913" s="555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spans="1:26" ht="11.25" customHeight="1">
      <c r="A914" s="337"/>
      <c r="B914" s="204"/>
      <c r="C914" s="554"/>
      <c r="D914" s="554"/>
      <c r="E914" s="207"/>
      <c r="F914" s="555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spans="1:26" ht="11.25" customHeight="1">
      <c r="A915" s="337"/>
      <c r="B915" s="204"/>
      <c r="C915" s="554"/>
      <c r="D915" s="554"/>
      <c r="E915" s="207"/>
      <c r="F915" s="555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spans="1:26" ht="11.25" customHeight="1">
      <c r="A916" s="337"/>
      <c r="B916" s="204"/>
      <c r="C916" s="554"/>
      <c r="D916" s="554"/>
      <c r="E916" s="207"/>
      <c r="F916" s="555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spans="1:26" ht="11.25" customHeight="1">
      <c r="A917" s="337"/>
      <c r="B917" s="204"/>
      <c r="C917" s="554"/>
      <c r="D917" s="554"/>
      <c r="E917" s="207"/>
      <c r="F917" s="555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spans="1:26" ht="11.25" customHeight="1">
      <c r="A918" s="337"/>
      <c r="B918" s="204"/>
      <c r="C918" s="554"/>
      <c r="D918" s="554"/>
      <c r="E918" s="207"/>
      <c r="F918" s="555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spans="1:26" ht="11.25" customHeight="1">
      <c r="A919" s="337"/>
      <c r="B919" s="204"/>
      <c r="C919" s="554"/>
      <c r="D919" s="554"/>
      <c r="E919" s="207"/>
      <c r="F919" s="555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spans="1:26" ht="11.25" customHeight="1">
      <c r="A920" s="337"/>
      <c r="B920" s="204"/>
      <c r="C920" s="554"/>
      <c r="D920" s="554"/>
      <c r="E920" s="207"/>
      <c r="F920" s="555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spans="1:26" ht="11.25" customHeight="1">
      <c r="A921" s="337"/>
      <c r="B921" s="204"/>
      <c r="C921" s="554"/>
      <c r="D921" s="554"/>
      <c r="E921" s="207"/>
      <c r="F921" s="555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spans="1:26" ht="11.25" customHeight="1">
      <c r="A922" s="337"/>
      <c r="B922" s="204"/>
      <c r="C922" s="554"/>
      <c r="D922" s="554"/>
      <c r="E922" s="207"/>
      <c r="F922" s="555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spans="1:26" ht="11.25" customHeight="1">
      <c r="A923" s="337"/>
      <c r="B923" s="204"/>
      <c r="C923" s="554"/>
      <c r="D923" s="554"/>
      <c r="E923" s="207"/>
      <c r="F923" s="555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spans="1:26" ht="11.25" customHeight="1">
      <c r="A924" s="337"/>
      <c r="B924" s="204"/>
      <c r="C924" s="554"/>
      <c r="D924" s="554"/>
      <c r="E924" s="207"/>
      <c r="F924" s="555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spans="1:26" ht="11.25" customHeight="1">
      <c r="A925" s="337"/>
      <c r="B925" s="204"/>
      <c r="C925" s="554"/>
      <c r="D925" s="554"/>
      <c r="E925" s="207"/>
      <c r="F925" s="555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spans="1:26" ht="11.25" customHeight="1">
      <c r="A926" s="337"/>
      <c r="B926" s="204"/>
      <c r="C926" s="554"/>
      <c r="D926" s="554"/>
      <c r="E926" s="207"/>
      <c r="F926" s="555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spans="1:26" ht="11.25" customHeight="1">
      <c r="A927" s="337"/>
      <c r="B927" s="204"/>
      <c r="C927" s="554"/>
      <c r="D927" s="554"/>
      <c r="E927" s="207"/>
      <c r="F927" s="555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spans="1:26" ht="11.25" customHeight="1">
      <c r="A928" s="337"/>
      <c r="B928" s="204"/>
      <c r="C928" s="554"/>
      <c r="D928" s="554"/>
      <c r="E928" s="207"/>
      <c r="F928" s="555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spans="1:26" ht="11.25" customHeight="1">
      <c r="A929" s="337"/>
      <c r="B929" s="204"/>
      <c r="C929" s="554"/>
      <c r="D929" s="554"/>
      <c r="E929" s="207"/>
      <c r="F929" s="555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spans="1:26" ht="11.25" customHeight="1">
      <c r="A930" s="337"/>
      <c r="B930" s="204"/>
      <c r="C930" s="554"/>
      <c r="D930" s="554"/>
      <c r="E930" s="207"/>
      <c r="F930" s="555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spans="1:26" ht="11.25" customHeight="1">
      <c r="A931" s="337"/>
      <c r="B931" s="204"/>
      <c r="C931" s="554"/>
      <c r="D931" s="554"/>
      <c r="E931" s="207"/>
      <c r="F931" s="555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spans="1:26" ht="11.25" customHeight="1">
      <c r="A932" s="337"/>
      <c r="B932" s="204"/>
      <c r="C932" s="554"/>
      <c r="D932" s="554"/>
      <c r="E932" s="207"/>
      <c r="F932" s="555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spans="1:26" ht="11.25" customHeight="1">
      <c r="A933" s="337"/>
      <c r="B933" s="204"/>
      <c r="C933" s="554"/>
      <c r="D933" s="554"/>
      <c r="E933" s="207"/>
      <c r="F933" s="555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spans="1:26" ht="11.25" customHeight="1">
      <c r="A934" s="337"/>
      <c r="B934" s="204"/>
      <c r="C934" s="554"/>
      <c r="D934" s="554"/>
      <c r="E934" s="207"/>
      <c r="F934" s="555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spans="1:26" ht="11.25" customHeight="1">
      <c r="A935" s="337"/>
      <c r="B935" s="204"/>
      <c r="C935" s="554"/>
      <c r="D935" s="554"/>
      <c r="E935" s="207"/>
      <c r="F935" s="555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spans="1:26" ht="11.25" customHeight="1">
      <c r="A936" s="337"/>
      <c r="B936" s="204"/>
      <c r="C936" s="554"/>
      <c r="D936" s="554"/>
      <c r="E936" s="207"/>
      <c r="F936" s="555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spans="1:26" ht="11.25" customHeight="1">
      <c r="A937" s="337"/>
      <c r="B937" s="204"/>
      <c r="C937" s="554"/>
      <c r="D937" s="554"/>
      <c r="E937" s="207"/>
      <c r="F937" s="555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spans="1:26" ht="11.25" customHeight="1">
      <c r="A938" s="337"/>
      <c r="B938" s="204"/>
      <c r="C938" s="554"/>
      <c r="D938" s="554"/>
      <c r="E938" s="207"/>
      <c r="F938" s="555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spans="1:26" ht="11.25" customHeight="1">
      <c r="A939" s="337"/>
      <c r="B939" s="204"/>
      <c r="C939" s="554"/>
      <c r="D939" s="554"/>
      <c r="E939" s="207"/>
      <c r="F939" s="555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spans="1:26" ht="11.25" customHeight="1">
      <c r="A940" s="337"/>
      <c r="B940" s="204"/>
      <c r="C940" s="554"/>
      <c r="D940" s="554"/>
      <c r="E940" s="207"/>
      <c r="F940" s="555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spans="1:26" ht="11.25" customHeight="1">
      <c r="A941" s="337"/>
      <c r="B941" s="204"/>
      <c r="C941" s="554"/>
      <c r="D941" s="554"/>
      <c r="E941" s="207"/>
      <c r="F941" s="555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spans="1:26" ht="11.25" customHeight="1">
      <c r="A942" s="337"/>
      <c r="B942" s="204"/>
      <c r="C942" s="554"/>
      <c r="D942" s="554"/>
      <c r="E942" s="207"/>
      <c r="F942" s="555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spans="1:26" ht="11.25" customHeight="1">
      <c r="A943" s="337"/>
      <c r="B943" s="204"/>
      <c r="C943" s="554"/>
      <c r="D943" s="554"/>
      <c r="E943" s="207"/>
      <c r="F943" s="555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spans="1:26" ht="11.25" customHeight="1">
      <c r="A944" s="337"/>
      <c r="B944" s="204"/>
      <c r="C944" s="554"/>
      <c r="D944" s="554"/>
      <c r="E944" s="207"/>
      <c r="F944" s="555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spans="1:26" ht="11.25" customHeight="1">
      <c r="A945" s="337"/>
      <c r="B945" s="204"/>
      <c r="C945" s="554"/>
      <c r="D945" s="554"/>
      <c r="E945" s="207"/>
      <c r="F945" s="555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spans="1:26" ht="11.25" customHeight="1">
      <c r="A946" s="337"/>
      <c r="B946" s="204"/>
      <c r="C946" s="554"/>
      <c r="D946" s="554"/>
      <c r="E946" s="207"/>
      <c r="F946" s="555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spans="1:26" ht="11.25" customHeight="1">
      <c r="A947" s="337"/>
      <c r="B947" s="204"/>
      <c r="C947" s="554"/>
      <c r="D947" s="554"/>
      <c r="E947" s="207"/>
      <c r="F947" s="555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spans="1:26" ht="11.25" customHeight="1">
      <c r="A948" s="337"/>
      <c r="B948" s="204"/>
      <c r="C948" s="554"/>
      <c r="D948" s="554"/>
      <c r="E948" s="207"/>
      <c r="F948" s="555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spans="1:26" ht="11.25" customHeight="1">
      <c r="A949" s="337"/>
      <c r="B949" s="204"/>
      <c r="C949" s="554"/>
      <c r="D949" s="554"/>
      <c r="E949" s="207"/>
      <c r="F949" s="555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spans="1:26" ht="11.25" customHeight="1">
      <c r="A950" s="337"/>
      <c r="B950" s="204"/>
      <c r="C950" s="554"/>
      <c r="D950" s="554"/>
      <c r="E950" s="207"/>
      <c r="F950" s="555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spans="1:26" ht="11.25" customHeight="1">
      <c r="A951" s="337"/>
      <c r="B951" s="204"/>
      <c r="C951" s="554"/>
      <c r="D951" s="554"/>
      <c r="E951" s="207"/>
      <c r="F951" s="555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spans="1:26" ht="11.25" customHeight="1">
      <c r="A952" s="337"/>
      <c r="B952" s="204"/>
      <c r="C952" s="554"/>
      <c r="D952" s="554"/>
      <c r="E952" s="207"/>
      <c r="F952" s="555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spans="1:26" ht="11.25" customHeight="1">
      <c r="A953" s="337"/>
      <c r="B953" s="204"/>
      <c r="C953" s="554"/>
      <c r="D953" s="554"/>
      <c r="E953" s="207"/>
      <c r="F953" s="555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spans="1:26" ht="11.25" customHeight="1">
      <c r="A954" s="337"/>
      <c r="B954" s="204"/>
      <c r="C954" s="554"/>
      <c r="D954" s="554"/>
      <c r="E954" s="207"/>
      <c r="F954" s="555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spans="1:26" ht="11.25" customHeight="1">
      <c r="A955" s="337"/>
      <c r="B955" s="204"/>
      <c r="C955" s="554"/>
      <c r="D955" s="554"/>
      <c r="E955" s="207"/>
      <c r="F955" s="555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spans="1:26" ht="11.25" customHeight="1">
      <c r="A956" s="337"/>
      <c r="B956" s="204"/>
      <c r="C956" s="554"/>
      <c r="D956" s="554"/>
      <c r="E956" s="207"/>
      <c r="F956" s="555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spans="1:26" ht="11.25" customHeight="1">
      <c r="A957" s="337"/>
      <c r="B957" s="204"/>
      <c r="C957" s="554"/>
      <c r="D957" s="554"/>
      <c r="E957" s="207"/>
      <c r="F957" s="555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spans="1:26" ht="11.25" customHeight="1">
      <c r="A958" s="337"/>
      <c r="B958" s="204"/>
      <c r="C958" s="554"/>
      <c r="D958" s="554"/>
      <c r="E958" s="207"/>
      <c r="F958" s="555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spans="1:26" ht="11.25" customHeight="1">
      <c r="A959" s="337"/>
      <c r="B959" s="204"/>
      <c r="C959" s="554"/>
      <c r="D959" s="554"/>
      <c r="E959" s="207"/>
      <c r="F959" s="555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spans="1:26" ht="11.25" customHeight="1">
      <c r="A960" s="337"/>
      <c r="B960" s="204"/>
      <c r="C960" s="554"/>
      <c r="D960" s="554"/>
      <c r="E960" s="207"/>
      <c r="F960" s="555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spans="1:26" ht="11.25" customHeight="1">
      <c r="A961" s="337"/>
      <c r="B961" s="204"/>
      <c r="C961" s="554"/>
      <c r="D961" s="554"/>
      <c r="E961" s="207"/>
      <c r="F961" s="555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spans="1:26" ht="11.25" customHeight="1">
      <c r="A962" s="337"/>
      <c r="B962" s="204"/>
      <c r="C962" s="554"/>
      <c r="D962" s="554"/>
      <c r="E962" s="207"/>
      <c r="F962" s="555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spans="1:26" ht="11.25" customHeight="1">
      <c r="A963" s="337"/>
      <c r="B963" s="204"/>
      <c r="C963" s="554"/>
      <c r="D963" s="554"/>
      <c r="E963" s="207"/>
      <c r="F963" s="555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spans="1:26" ht="11.25" customHeight="1">
      <c r="A964" s="337"/>
      <c r="B964" s="204"/>
      <c r="C964" s="554"/>
      <c r="D964" s="554"/>
      <c r="E964" s="207"/>
      <c r="F964" s="555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spans="1:26" ht="11.25" customHeight="1">
      <c r="A965" s="337"/>
      <c r="B965" s="204"/>
      <c r="C965" s="554"/>
      <c r="D965" s="554"/>
      <c r="E965" s="207"/>
      <c r="F965" s="555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spans="1:26" ht="11.25" customHeight="1">
      <c r="A966" s="337"/>
      <c r="B966" s="204"/>
      <c r="C966" s="554"/>
      <c r="D966" s="554"/>
      <c r="E966" s="207"/>
      <c r="F966" s="555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spans="1:26" ht="11.25" customHeight="1">
      <c r="A967" s="337"/>
      <c r="B967" s="204"/>
      <c r="C967" s="554"/>
      <c r="D967" s="554"/>
      <c r="E967" s="207"/>
      <c r="F967" s="555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spans="1:26" ht="11.25" customHeight="1">
      <c r="A968" s="337"/>
      <c r="B968" s="204"/>
      <c r="C968" s="554"/>
      <c r="D968" s="554"/>
      <c r="E968" s="207"/>
      <c r="F968" s="555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spans="1:26" ht="11.25" customHeight="1">
      <c r="A969" s="337"/>
      <c r="B969" s="204"/>
      <c r="C969" s="554"/>
      <c r="D969" s="554"/>
      <c r="E969" s="207"/>
      <c r="F969" s="555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spans="1:26" ht="11.25" customHeight="1">
      <c r="A970" s="337"/>
      <c r="B970" s="204"/>
      <c r="C970" s="554"/>
      <c r="D970" s="554"/>
      <c r="E970" s="207"/>
      <c r="F970" s="555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spans="1:26" ht="11.25" customHeight="1">
      <c r="A971" s="337"/>
      <c r="B971" s="204"/>
      <c r="C971" s="554"/>
      <c r="D971" s="554"/>
      <c r="E971" s="207"/>
      <c r="F971" s="555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spans="1:26" ht="11.25" customHeight="1">
      <c r="A972" s="337"/>
      <c r="B972" s="204"/>
      <c r="C972" s="554"/>
      <c r="D972" s="554"/>
      <c r="E972" s="207"/>
      <c r="F972" s="555"/>
      <c r="G972" s="204"/>
      <c r="H972" s="204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spans="1:26" ht="11.25" customHeight="1">
      <c r="A973" s="337"/>
      <c r="B973" s="204"/>
      <c r="C973" s="554"/>
      <c r="D973" s="554"/>
      <c r="E973" s="207"/>
      <c r="F973" s="555"/>
      <c r="G973" s="204"/>
      <c r="H973" s="204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spans="1:26" ht="11.25" customHeight="1">
      <c r="A974" s="337"/>
      <c r="B974" s="204"/>
      <c r="C974" s="554"/>
      <c r="D974" s="554"/>
      <c r="E974" s="207"/>
      <c r="F974" s="555"/>
      <c r="G974" s="204"/>
      <c r="H974" s="204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spans="1:26" ht="11.25" customHeight="1">
      <c r="A975" s="337"/>
      <c r="B975" s="204"/>
      <c r="C975" s="554"/>
      <c r="D975" s="554"/>
      <c r="E975" s="207"/>
      <c r="F975" s="555"/>
      <c r="G975" s="204"/>
      <c r="H975" s="204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spans="1:26" ht="11.25" customHeight="1">
      <c r="A976" s="337"/>
      <c r="B976" s="204"/>
      <c r="C976" s="554"/>
      <c r="D976" s="554"/>
      <c r="E976" s="207"/>
      <c r="F976" s="555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spans="1:26" ht="11.25" customHeight="1">
      <c r="A977" s="337"/>
      <c r="B977" s="204"/>
      <c r="C977" s="554"/>
      <c r="D977" s="554"/>
      <c r="E977" s="207"/>
      <c r="F977" s="555"/>
      <c r="G977" s="204"/>
      <c r="H977" s="204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spans="1:26" ht="11.25" customHeight="1">
      <c r="A978" s="337"/>
      <c r="B978" s="204"/>
      <c r="C978" s="554"/>
      <c r="D978" s="554"/>
      <c r="E978" s="207"/>
      <c r="F978" s="555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spans="1:26" ht="11.25" customHeight="1">
      <c r="A979" s="337"/>
      <c r="B979" s="204"/>
      <c r="C979" s="554"/>
      <c r="D979" s="554"/>
      <c r="E979" s="207"/>
      <c r="F979" s="555"/>
      <c r="G979" s="204"/>
      <c r="H979" s="204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spans="1:26" ht="11.25" customHeight="1">
      <c r="A980" s="337"/>
      <c r="B980" s="204"/>
      <c r="C980" s="554"/>
      <c r="D980" s="554"/>
      <c r="E980" s="207"/>
      <c r="F980" s="555"/>
      <c r="G980" s="204"/>
      <c r="H980" s="204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spans="1:26" ht="11.25" customHeight="1">
      <c r="A981" s="337"/>
      <c r="B981" s="204"/>
      <c r="C981" s="554"/>
      <c r="D981" s="554"/>
      <c r="E981" s="207"/>
      <c r="F981" s="555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spans="1:26" ht="11.25" customHeight="1">
      <c r="A982" s="337"/>
      <c r="B982" s="204"/>
      <c r="C982" s="554"/>
      <c r="D982" s="554"/>
      <c r="E982" s="207"/>
      <c r="F982" s="555"/>
      <c r="G982" s="204"/>
      <c r="H982" s="204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spans="1:26" ht="11.25" customHeight="1">
      <c r="A983" s="337"/>
      <c r="B983" s="204"/>
      <c r="C983" s="554"/>
      <c r="D983" s="554"/>
      <c r="E983" s="207"/>
      <c r="F983" s="555"/>
      <c r="G983" s="204"/>
      <c r="H983" s="204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spans="1:26" ht="11.25" customHeight="1">
      <c r="A984" s="337"/>
      <c r="B984" s="204"/>
      <c r="C984" s="554"/>
      <c r="D984" s="554"/>
      <c r="E984" s="207"/>
      <c r="F984" s="555"/>
      <c r="G984" s="204"/>
      <c r="H984" s="204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spans="1:26" ht="11.25" customHeight="1">
      <c r="A985" s="337"/>
      <c r="B985" s="204"/>
      <c r="C985" s="554"/>
      <c r="D985" s="554"/>
      <c r="E985" s="207"/>
      <c r="F985" s="555"/>
      <c r="G985" s="204"/>
      <c r="H985" s="204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spans="1:26" ht="11.25" customHeight="1">
      <c r="A986" s="337"/>
      <c r="B986" s="204"/>
      <c r="C986" s="554"/>
      <c r="D986" s="554"/>
      <c r="E986" s="207"/>
      <c r="F986" s="555"/>
      <c r="G986" s="204"/>
      <c r="H986" s="204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spans="1:26" ht="11.25" customHeight="1">
      <c r="A987" s="337"/>
      <c r="B987" s="204"/>
      <c r="C987" s="554"/>
      <c r="D987" s="554"/>
      <c r="E987" s="207"/>
      <c r="F987" s="555"/>
      <c r="G987" s="204"/>
      <c r="H987" s="204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spans="1:26" ht="11.25" customHeight="1">
      <c r="A988" s="337"/>
      <c r="B988" s="204"/>
      <c r="C988" s="554"/>
      <c r="D988" s="554"/>
      <c r="E988" s="207"/>
      <c r="F988" s="555"/>
      <c r="G988" s="204"/>
      <c r="H988" s="204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spans="1:26" ht="11.25" customHeight="1">
      <c r="A989" s="337"/>
      <c r="B989" s="204"/>
      <c r="C989" s="554"/>
      <c r="D989" s="554"/>
      <c r="E989" s="207"/>
      <c r="F989" s="555"/>
      <c r="G989" s="204"/>
      <c r="H989" s="204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spans="1:26" ht="11.25" customHeight="1">
      <c r="A990" s="337"/>
      <c r="B990" s="204"/>
      <c r="C990" s="554"/>
      <c r="D990" s="554"/>
      <c r="E990" s="207"/>
      <c r="F990" s="555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spans="1:26" ht="11.25" customHeight="1">
      <c r="A991" s="337"/>
      <c r="B991" s="204"/>
      <c r="C991" s="554"/>
      <c r="D991" s="554"/>
      <c r="E991" s="207"/>
      <c r="F991" s="555"/>
      <c r="G991" s="204"/>
      <c r="H991" s="204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spans="1:26" ht="11.25" customHeight="1">
      <c r="A992" s="337"/>
      <c r="B992" s="204"/>
      <c r="C992" s="554"/>
      <c r="D992" s="554"/>
      <c r="E992" s="207"/>
      <c r="F992" s="555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spans="1:26" ht="11.25" customHeight="1">
      <c r="A993" s="337"/>
      <c r="B993" s="204"/>
      <c r="C993" s="554"/>
      <c r="D993" s="554"/>
      <c r="E993" s="207"/>
      <c r="F993" s="555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spans="1:26" ht="11.25" customHeight="1">
      <c r="A994" s="337"/>
      <c r="B994" s="204"/>
      <c r="C994" s="554"/>
      <c r="D994" s="554"/>
      <c r="E994" s="207"/>
      <c r="F994" s="555"/>
      <c r="G994" s="204"/>
      <c r="H994" s="204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spans="1:26" ht="11.25" customHeight="1">
      <c r="A995" s="337"/>
      <c r="B995" s="204"/>
      <c r="C995" s="554"/>
      <c r="D995" s="554"/>
      <c r="E995" s="207"/>
      <c r="F995" s="555"/>
      <c r="G995" s="204"/>
      <c r="H995" s="204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spans="1:26" ht="11.25" customHeight="1">
      <c r="A996" s="337"/>
      <c r="B996" s="204"/>
      <c r="C996" s="554"/>
      <c r="D996" s="554"/>
      <c r="E996" s="207"/>
      <c r="F996" s="555"/>
      <c r="G996" s="204"/>
      <c r="H996" s="204"/>
      <c r="I996" s="204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spans="1:26" ht="11.25" customHeight="1">
      <c r="A997" s="337"/>
      <c r="B997" s="204"/>
      <c r="C997" s="554"/>
      <c r="D997" s="554"/>
      <c r="E997" s="207"/>
      <c r="F997" s="555"/>
      <c r="G997" s="204"/>
      <c r="H997" s="204"/>
      <c r="I997" s="204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spans="1:26" ht="11.25" customHeight="1">
      <c r="A998" s="337"/>
      <c r="B998" s="204"/>
      <c r="C998" s="554"/>
      <c r="D998" s="554"/>
      <c r="E998" s="207"/>
      <c r="F998" s="555"/>
      <c r="G998" s="204"/>
      <c r="H998" s="204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spans="1:26" ht="11.25" customHeight="1">
      <c r="A999" s="337"/>
      <c r="B999" s="204"/>
      <c r="C999" s="554"/>
      <c r="D999" s="554"/>
      <c r="E999" s="207"/>
      <c r="F999" s="555"/>
      <c r="G999" s="204"/>
      <c r="H999" s="204"/>
      <c r="I999" s="204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spans="1:26" ht="11.25" customHeight="1">
      <c r="A1000" s="337"/>
      <c r="B1000" s="204"/>
      <c r="C1000" s="554"/>
      <c r="D1000" s="554"/>
      <c r="E1000" s="207"/>
      <c r="F1000" s="555"/>
      <c r="G1000" s="204"/>
      <c r="H1000" s="204"/>
      <c r="I1000" s="204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7">
    <mergeCell ref="B1:E2"/>
    <mergeCell ref="A3:F3"/>
    <mergeCell ref="A8:A9"/>
    <mergeCell ref="B8:B9"/>
    <mergeCell ref="C8:C9"/>
    <mergeCell ref="D8:D9"/>
    <mergeCell ref="F8:F9"/>
  </mergeCells>
  <pageMargins left="0.7" right="0.7" top="0.75" bottom="0.75" header="0" footer="0"/>
  <pageSetup paperSize="9" scale="65" orientation="portrait"/>
  <headerFooter>
    <oddFooter>&amp;RPágina &amp;P de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showGridLines="0" topLeftCell="B1" workbookViewId="0">
      <selection activeCell="D141" sqref="D141"/>
    </sheetView>
  </sheetViews>
  <sheetFormatPr defaultColWidth="14.42578125" defaultRowHeight="15" customHeight="1"/>
  <cols>
    <col min="1" max="1" width="8.7109375" customWidth="1"/>
    <col min="2" max="2" width="40.7109375" customWidth="1"/>
    <col min="3" max="3" width="16" customWidth="1"/>
    <col min="4" max="4" width="17.85546875" customWidth="1"/>
    <col min="5" max="10" width="18.5703125" customWidth="1"/>
    <col min="11" max="11" width="12.28515625" hidden="1" customWidth="1"/>
    <col min="12" max="12" width="9.140625" hidden="1" customWidth="1"/>
    <col min="13" max="13" width="15" hidden="1" customWidth="1"/>
    <col min="14" max="26" width="8" hidden="1" customWidth="1"/>
  </cols>
  <sheetData>
    <row r="1" spans="1:26" ht="30" customHeight="1">
      <c r="A1" s="198"/>
      <c r="B1" s="199"/>
      <c r="C1" s="200"/>
      <c r="D1" s="201"/>
      <c r="E1" s="202"/>
      <c r="F1" s="202"/>
      <c r="G1" s="202"/>
      <c r="H1" s="202"/>
      <c r="I1" s="202"/>
      <c r="J1" s="203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33.75" customHeight="1">
      <c r="A2" s="205"/>
      <c r="B2" s="204"/>
      <c r="C2" s="206"/>
      <c r="D2" s="207"/>
      <c r="E2" s="208"/>
      <c r="F2" s="208"/>
      <c r="G2" s="208"/>
      <c r="H2" s="209"/>
      <c r="I2" s="208"/>
      <c r="J2" s="210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18" customHeight="1">
      <c r="A3" s="756" t="s">
        <v>200</v>
      </c>
      <c r="B3" s="682"/>
      <c r="C3" s="682"/>
      <c r="D3" s="682"/>
      <c r="E3" s="682"/>
      <c r="F3" s="682"/>
      <c r="G3" s="682"/>
      <c r="H3" s="682"/>
      <c r="I3" s="682"/>
      <c r="J3" s="683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8" customHeight="1">
      <c r="A4" s="755" t="e">
        <f>Sintetico!A7</f>
        <v>#REF!</v>
      </c>
      <c r="B4" s="669"/>
      <c r="C4" s="669"/>
      <c r="D4" s="669"/>
      <c r="E4" s="669"/>
      <c r="F4" s="669"/>
      <c r="G4" s="669"/>
      <c r="H4" s="669"/>
      <c r="I4" s="669"/>
      <c r="J4" s="67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755" t="e">
        <f>Sintetico!A8</f>
        <v>#REF!</v>
      </c>
      <c r="B5" s="669"/>
      <c r="C5" s="669"/>
      <c r="D5" s="669"/>
      <c r="E5" s="669"/>
      <c r="F5" s="669"/>
      <c r="G5" s="669"/>
      <c r="H5" s="669"/>
      <c r="I5" s="669"/>
      <c r="J5" s="67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>
      <c r="A6" s="217" t="s">
        <v>201</v>
      </c>
      <c r="B6" s="219"/>
      <c r="C6" s="220"/>
      <c r="D6" s="221"/>
      <c r="E6" s="222"/>
      <c r="F6" s="223"/>
      <c r="G6" s="224"/>
      <c r="H6" s="225"/>
      <c r="I6" s="223"/>
      <c r="J6" s="226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>
      <c r="A7" s="754" t="s">
        <v>43</v>
      </c>
      <c r="B7" s="751" t="s">
        <v>1</v>
      </c>
      <c r="C7" s="753" t="s">
        <v>204</v>
      </c>
      <c r="D7" s="749" t="s">
        <v>205</v>
      </c>
      <c r="E7" s="228">
        <v>30</v>
      </c>
      <c r="F7" s="228">
        <v>60</v>
      </c>
      <c r="G7" s="228">
        <v>90</v>
      </c>
      <c r="H7" s="228">
        <v>120</v>
      </c>
      <c r="I7" s="228">
        <v>150</v>
      </c>
      <c r="J7" s="228">
        <v>180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>
      <c r="A8" s="752"/>
      <c r="B8" s="752"/>
      <c r="C8" s="752"/>
      <c r="D8" s="750"/>
      <c r="E8" s="228" t="s">
        <v>208</v>
      </c>
      <c r="F8" s="229" t="s">
        <v>209</v>
      </c>
      <c r="G8" s="228" t="s">
        <v>210</v>
      </c>
      <c r="H8" s="228" t="s">
        <v>211</v>
      </c>
      <c r="I8" s="228" t="s">
        <v>212</v>
      </c>
      <c r="J8" s="228" t="s">
        <v>213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>
      <c r="A9" s="739">
        <v>1</v>
      </c>
      <c r="B9" s="741" t="str">
        <f>VLOOKUP(A9,Resumo!$A$10:$F$77,2,FALSE)</f>
        <v xml:space="preserve">ADMINISTRAÇÃO DA OBRA </v>
      </c>
      <c r="C9" s="743" t="e">
        <f>Resumo!D10</f>
        <v>#DIV/0!</v>
      </c>
      <c r="D9" s="745">
        <f>Resumo!F10</f>
        <v>0</v>
      </c>
      <c r="E9" s="231">
        <v>4.6906904175657842E-2</v>
      </c>
      <c r="F9" s="231">
        <v>0.21271702893815259</v>
      </c>
      <c r="G9" s="231">
        <v>0.20578698919542018</v>
      </c>
      <c r="H9" s="231">
        <v>0.27054382319580178</v>
      </c>
      <c r="I9" s="231">
        <v>0.21199689258089738</v>
      </c>
      <c r="J9" s="231">
        <v>5.2048361914069897E-2</v>
      </c>
      <c r="K9" s="232">
        <f>E9+F9+G9+H9+I9+J9</f>
        <v>0.99999999999999967</v>
      </c>
      <c r="L9" s="233">
        <f>D9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>
      <c r="A10" s="740"/>
      <c r="B10" s="742"/>
      <c r="C10" s="742"/>
      <c r="D10" s="746"/>
      <c r="E10" s="234">
        <f t="shared" ref="E10:J10" si="0">E9*$D$9</f>
        <v>0</v>
      </c>
      <c r="F10" s="234">
        <f t="shared" si="0"/>
        <v>0</v>
      </c>
      <c r="G10" s="234">
        <f t="shared" si="0"/>
        <v>0</v>
      </c>
      <c r="H10" s="234">
        <f t="shared" si="0"/>
        <v>0</v>
      </c>
      <c r="I10" s="234">
        <f t="shared" si="0"/>
        <v>0</v>
      </c>
      <c r="J10" s="234">
        <f t="shared" si="0"/>
        <v>0</v>
      </c>
      <c r="K10" s="232"/>
      <c r="L10" s="235">
        <f>D11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739">
        <v>2</v>
      </c>
      <c r="B11" s="741" t="str">
        <f>VLOOKUP(A11,Resumo!$A$10:$F$77,2,FALSE)</f>
        <v>SERVIÇOS PRELIMINARES E SERVIÇOS GERAIS</v>
      </c>
      <c r="C11" s="743" t="e">
        <f>Resumo!D11</f>
        <v>#DIV/0!</v>
      </c>
      <c r="D11" s="745">
        <f>Resumo!F11</f>
        <v>0</v>
      </c>
      <c r="E11" s="231">
        <v>0.23261315037237007</v>
      </c>
      <c r="F11" s="231">
        <v>0.15347736992552599</v>
      </c>
      <c r="G11" s="231">
        <v>0.15347736992552599</v>
      </c>
      <c r="H11" s="231">
        <v>0.15347736992552599</v>
      </c>
      <c r="I11" s="231">
        <v>0.15347736992552599</v>
      </c>
      <c r="J11" s="231">
        <v>0.15347736992552599</v>
      </c>
      <c r="K11" s="240">
        <f>J11+I11+H11+G11+F11+E11</f>
        <v>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740"/>
      <c r="B12" s="742"/>
      <c r="C12" s="742"/>
      <c r="D12" s="746"/>
      <c r="E12" s="234">
        <f>$D11*E11</f>
        <v>0</v>
      </c>
      <c r="F12" s="234">
        <f t="shared" ref="F12:J12" si="1">F11*$D$11</f>
        <v>0</v>
      </c>
      <c r="G12" s="234">
        <f t="shared" si="1"/>
        <v>0</v>
      </c>
      <c r="H12" s="234">
        <f t="shared" si="1"/>
        <v>0</v>
      </c>
      <c r="I12" s="234">
        <f t="shared" si="1"/>
        <v>0</v>
      </c>
      <c r="J12" s="234">
        <f t="shared" si="1"/>
        <v>0</v>
      </c>
      <c r="K12" s="242">
        <f>K11*I11</f>
        <v>0.15347736992552599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9.75" customHeight="1">
      <c r="A13" s="243"/>
      <c r="B13" s="244" t="str">
        <f>Resumo!B12</f>
        <v>IMPLANTAÇÃO</v>
      </c>
      <c r="C13" s="245"/>
      <c r="D13" s="246"/>
      <c r="E13" s="247"/>
      <c r="F13" s="247"/>
      <c r="G13" s="247"/>
      <c r="H13" s="247"/>
      <c r="I13" s="247"/>
      <c r="J13" s="247"/>
      <c r="K13" s="23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>
      <c r="A14" s="739">
        <v>3</v>
      </c>
      <c r="B14" s="741" t="str">
        <f>VLOOKUP(A14,Resumo!$A$10:$F$77,2,FALSE)</f>
        <v>ACESSO ENTRE BLOCO ADMINISTRATIVO E SALA DE AULA</v>
      </c>
      <c r="C14" s="743" t="e">
        <f>Resumo!D13</f>
        <v>#DIV/0!</v>
      </c>
      <c r="D14" s="745">
        <f>Resumo!F13</f>
        <v>0</v>
      </c>
      <c r="E14" s="231">
        <v>0.5</v>
      </c>
      <c r="F14" s="231">
        <v>0.5</v>
      </c>
      <c r="G14" s="231"/>
      <c r="H14" s="231"/>
      <c r="I14" s="231"/>
      <c r="J14" s="231"/>
      <c r="K14" s="23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>
      <c r="A15" s="740"/>
      <c r="B15" s="742"/>
      <c r="C15" s="742"/>
      <c r="D15" s="746"/>
      <c r="E15" s="234">
        <f t="shared" ref="E15:F15" si="2">$D$14/2</f>
        <v>0</v>
      </c>
      <c r="F15" s="234">
        <f t="shared" si="2"/>
        <v>0</v>
      </c>
      <c r="G15" s="234"/>
      <c r="H15" s="234"/>
      <c r="I15" s="234"/>
      <c r="J15" s="234"/>
      <c r="K15" s="23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>
      <c r="A16" s="739">
        <v>4</v>
      </c>
      <c r="B16" s="741" t="str">
        <f>VLOOKUP(A16,Resumo!$A$10:$F$77,2,FALSE)</f>
        <v>ACESSO ADMINISTRATIVO PARA AUDITORIO_PÁTIO</v>
      </c>
      <c r="C16" s="743" t="e">
        <f>Resumo!D14</f>
        <v>#DIV/0!</v>
      </c>
      <c r="D16" s="745">
        <f>Resumo!F14</f>
        <v>0</v>
      </c>
      <c r="E16" s="231">
        <v>1</v>
      </c>
      <c r="F16" s="231"/>
      <c r="G16" s="231"/>
      <c r="H16" s="231"/>
      <c r="I16" s="231"/>
      <c r="J16" s="231"/>
      <c r="K16" s="23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>
      <c r="A17" s="740"/>
      <c r="B17" s="742"/>
      <c r="C17" s="742"/>
      <c r="D17" s="746"/>
      <c r="E17" s="234">
        <f>$D16*E16</f>
        <v>0</v>
      </c>
      <c r="F17" s="234"/>
      <c r="G17" s="234"/>
      <c r="H17" s="234"/>
      <c r="I17" s="234"/>
      <c r="J17" s="234"/>
      <c r="K17" s="23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739">
        <v>5</v>
      </c>
      <c r="B18" s="741" t="str">
        <f>VLOOKUP(A18,Resumo!$A$10:$F$77,2,FALSE)</f>
        <v xml:space="preserve">ADEQUAÇÃO DE ACESSIBILIDADE DA PARADA DE ONIBUS INSTALADA EM FRENTE AO CAMPUS </v>
      </c>
      <c r="C18" s="743" t="e">
        <f>Resumo!D15</f>
        <v>#DIV/0!</v>
      </c>
      <c r="D18" s="745">
        <f>Resumo!F15</f>
        <v>0</v>
      </c>
      <c r="E18" s="231">
        <v>0.3</v>
      </c>
      <c r="F18" s="231">
        <v>0.7</v>
      </c>
      <c r="G18" s="231"/>
      <c r="H18" s="231"/>
      <c r="I18" s="231"/>
      <c r="J18" s="231"/>
      <c r="K18" s="23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>
      <c r="A19" s="740"/>
      <c r="B19" s="742"/>
      <c r="C19" s="742"/>
      <c r="D19" s="746"/>
      <c r="E19" s="234">
        <f t="shared" ref="E19:F19" si="3">$D18*E18</f>
        <v>0</v>
      </c>
      <c r="F19" s="234">
        <f t="shared" si="3"/>
        <v>0</v>
      </c>
      <c r="G19" s="234"/>
      <c r="H19" s="234"/>
      <c r="I19" s="234"/>
      <c r="J19" s="234"/>
      <c r="K19" s="23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739">
        <v>6</v>
      </c>
      <c r="B20" s="741" t="str">
        <f>VLOOKUP(A20,Resumo!$A$10:$F$77,2,FALSE)</f>
        <v xml:space="preserve"> ESTACIONAMENTO SERVIDORES  </v>
      </c>
      <c r="C20" s="743" t="e">
        <f>Resumo!D16</f>
        <v>#DIV/0!</v>
      </c>
      <c r="D20" s="745">
        <f>Resumo!F16</f>
        <v>0</v>
      </c>
      <c r="E20" s="231">
        <v>0.4</v>
      </c>
      <c r="F20" s="231">
        <v>0.6</v>
      </c>
      <c r="G20" s="231"/>
      <c r="H20" s="231"/>
      <c r="I20" s="231"/>
      <c r="J20" s="231"/>
      <c r="K20" s="23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740"/>
      <c r="B21" s="742"/>
      <c r="C21" s="742"/>
      <c r="D21" s="746"/>
      <c r="E21" s="234">
        <f t="shared" ref="E21:F21" si="4">$D20*E20</f>
        <v>0</v>
      </c>
      <c r="F21" s="234">
        <f t="shared" si="4"/>
        <v>0</v>
      </c>
      <c r="G21" s="234"/>
      <c r="H21" s="234"/>
      <c r="I21" s="234"/>
      <c r="J21" s="234"/>
      <c r="K21" s="23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739">
        <v>7</v>
      </c>
      <c r="B22" s="741" t="str">
        <f>VLOOKUP(A22,Resumo!$A$10:$F$77,2,FALSE)</f>
        <v xml:space="preserve"> ENTRADA VEÍCULOS</v>
      </c>
      <c r="C22" s="743" t="e">
        <f>Resumo!D17</f>
        <v>#DIV/0!</v>
      </c>
      <c r="D22" s="745">
        <f>Resumo!F17</f>
        <v>0</v>
      </c>
      <c r="E22" s="231"/>
      <c r="F22" s="231">
        <v>0.7</v>
      </c>
      <c r="G22" s="231">
        <v>0.3</v>
      </c>
      <c r="H22" s="231"/>
      <c r="I22" s="231"/>
      <c r="J22" s="231"/>
      <c r="K22" s="23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740"/>
      <c r="B23" s="742"/>
      <c r="C23" s="742"/>
      <c r="D23" s="746"/>
      <c r="E23" s="234"/>
      <c r="F23" s="234">
        <f t="shared" ref="F23:G23" si="5">$D22*F22</f>
        <v>0</v>
      </c>
      <c r="G23" s="234">
        <f t="shared" si="5"/>
        <v>0</v>
      </c>
      <c r="H23" s="234"/>
      <c r="I23" s="234"/>
      <c r="J23" s="234"/>
      <c r="K23" s="23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739">
        <v>8</v>
      </c>
      <c r="B24" s="741" t="str">
        <f>VLOOKUP(A24,Resumo!$A$10:$F$77,2,FALSE)</f>
        <v>ROTA ACESSÍVEL GERAL DO CAMPUS</v>
      </c>
      <c r="C24" s="743" t="e">
        <f>Resumo!D18</f>
        <v>#DIV/0!</v>
      </c>
      <c r="D24" s="745">
        <f>Resumo!F18</f>
        <v>0</v>
      </c>
      <c r="E24" s="231"/>
      <c r="F24" s="231">
        <v>0.7</v>
      </c>
      <c r="G24" s="231">
        <v>0.3</v>
      </c>
      <c r="H24" s="231"/>
      <c r="I24" s="231"/>
      <c r="J24" s="231"/>
      <c r="K24" s="23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740"/>
      <c r="B25" s="742"/>
      <c r="C25" s="742"/>
      <c r="D25" s="746"/>
      <c r="E25" s="234"/>
      <c r="F25" s="234">
        <f t="shared" ref="F25:G25" si="6">$D24*F24</f>
        <v>0</v>
      </c>
      <c r="G25" s="234">
        <f t="shared" si="6"/>
        <v>0</v>
      </c>
      <c r="H25" s="234"/>
      <c r="I25" s="234"/>
      <c r="J25" s="234"/>
      <c r="K25" s="23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>
      <c r="A26" s="739">
        <v>9</v>
      </c>
      <c r="B26" s="741" t="str">
        <f>VLOOKUP(A26,Resumo!$A$10:$F$133,2,FALSE)</f>
        <v>ESTACIONAMENTO ALUNOS E VISITANTES</v>
      </c>
      <c r="C26" s="743" t="e">
        <f>Resumo!D19</f>
        <v>#DIV/0!</v>
      </c>
      <c r="D26" s="745">
        <f>Resumo!F19</f>
        <v>0</v>
      </c>
      <c r="E26" s="231"/>
      <c r="F26" s="231">
        <v>1</v>
      </c>
      <c r="G26" s="231"/>
      <c r="H26" s="231"/>
      <c r="I26" s="231"/>
      <c r="J26" s="231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</row>
    <row r="27" spans="1:26" ht="15" customHeight="1">
      <c r="A27" s="740"/>
      <c r="B27" s="742"/>
      <c r="C27" s="742"/>
      <c r="D27" s="746"/>
      <c r="E27" s="234"/>
      <c r="F27" s="234">
        <f>$D26*F26</f>
        <v>0</v>
      </c>
      <c r="G27" s="234"/>
      <c r="H27" s="234"/>
      <c r="I27" s="234"/>
      <c r="J27" s="234"/>
      <c r="K27" s="232"/>
      <c r="L27" s="8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</row>
    <row r="28" spans="1:26" ht="15" customHeight="1">
      <c r="A28" s="744">
        <v>10</v>
      </c>
      <c r="B28" s="741" t="str">
        <f>VLOOKUP(A28,Resumo!$A$10:$F$133,2,FALSE)</f>
        <v>ADEQUAÇÃO EMBARQUE E DESEMBARQUE</v>
      </c>
      <c r="C28" s="743" t="e">
        <f>Resumo!D20</f>
        <v>#DIV/0!</v>
      </c>
      <c r="D28" s="745">
        <f>Resumo!F20</f>
        <v>0</v>
      </c>
      <c r="E28" s="231"/>
      <c r="F28" s="231">
        <v>0.6</v>
      </c>
      <c r="G28" s="231">
        <v>0.4</v>
      </c>
      <c r="H28" s="231"/>
      <c r="I28" s="231"/>
      <c r="J28" s="231"/>
      <c r="K28" s="23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740"/>
      <c r="B29" s="742"/>
      <c r="C29" s="742"/>
      <c r="D29" s="746"/>
      <c r="E29" s="234"/>
      <c r="F29" s="234">
        <f t="shared" ref="F29:G29" si="7">$D28*F28</f>
        <v>0</v>
      </c>
      <c r="G29" s="234">
        <f t="shared" si="7"/>
        <v>0</v>
      </c>
      <c r="H29" s="234"/>
      <c r="I29" s="234"/>
      <c r="J29" s="234"/>
      <c r="K29" s="232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0.5" customHeight="1">
      <c r="A30" s="243"/>
      <c r="B30" s="244" t="str">
        <f>Resumo!B21</f>
        <v>GINÁSIO</v>
      </c>
      <c r="C30" s="245"/>
      <c r="D30" s="246"/>
      <c r="E30" s="247"/>
      <c r="F30" s="247"/>
      <c r="G30" s="247"/>
      <c r="H30" s="247"/>
      <c r="I30" s="247"/>
      <c r="J30" s="247"/>
      <c r="K30" s="2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>
      <c r="A31" s="744">
        <v>12</v>
      </c>
      <c r="B31" s="741" t="str">
        <f>VLOOKUP(A31,Resumo!$A$10:$F$77,2,FALSE)</f>
        <v>ADEQUAÇÃO SANITÁRIO MASCULINO - CANTINA</v>
      </c>
      <c r="C31" s="743" t="e">
        <f>Resumo!D22</f>
        <v>#DIV/0!</v>
      </c>
      <c r="D31" s="745">
        <f>Resumo!F22</f>
        <v>0</v>
      </c>
      <c r="E31" s="231">
        <v>0.2</v>
      </c>
      <c r="F31" s="231">
        <v>0.8</v>
      </c>
      <c r="G31" s="231"/>
      <c r="H31" s="231"/>
      <c r="I31" s="231"/>
      <c r="J31" s="231"/>
      <c r="K31" s="23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>
      <c r="A32" s="740"/>
      <c r="B32" s="742"/>
      <c r="C32" s="742"/>
      <c r="D32" s="746"/>
      <c r="E32" s="234">
        <f t="shared" ref="E32:F32" si="8">$D31*E31</f>
        <v>0</v>
      </c>
      <c r="F32" s="234">
        <f t="shared" si="8"/>
        <v>0</v>
      </c>
      <c r="G32" s="234"/>
      <c r="H32" s="234"/>
      <c r="I32" s="234"/>
      <c r="J32" s="234"/>
      <c r="K32" s="23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>
      <c r="A33" s="744">
        <v>13</v>
      </c>
      <c r="B33" s="741" t="str">
        <f>VLOOKUP(A33,Resumo!$A$10:$F$77,2,FALSE)</f>
        <v>ADEQUAÇÃO SANITÁRIO FEMININO - CANTINA</v>
      </c>
      <c r="C33" s="743" t="e">
        <f>Resumo!D23</f>
        <v>#DIV/0!</v>
      </c>
      <c r="D33" s="745">
        <f>Resumo!F23</f>
        <v>0</v>
      </c>
      <c r="E33" s="231"/>
      <c r="F33" s="231">
        <v>0.25</v>
      </c>
      <c r="G33" s="231">
        <v>0.25</v>
      </c>
      <c r="H33" s="231">
        <v>0.25</v>
      </c>
      <c r="I33" s="231">
        <v>0.25</v>
      </c>
      <c r="J33" s="231"/>
      <c r="K33" s="23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>
      <c r="A34" s="740"/>
      <c r="B34" s="742"/>
      <c r="C34" s="742"/>
      <c r="D34" s="746"/>
      <c r="E34" s="234"/>
      <c r="F34" s="234">
        <f t="shared" ref="F34:I34" si="9">$D33*F33</f>
        <v>0</v>
      </c>
      <c r="G34" s="234">
        <f t="shared" si="9"/>
        <v>0</v>
      </c>
      <c r="H34" s="234">
        <f t="shared" si="9"/>
        <v>0</v>
      </c>
      <c r="I34" s="234">
        <f t="shared" si="9"/>
        <v>0</v>
      </c>
      <c r="J34" s="234"/>
      <c r="K34" s="23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>
      <c r="A35" s="744">
        <v>14</v>
      </c>
      <c r="B35" s="741" t="str">
        <f>VLOOKUP(A35,Resumo!$A$10:$F$77,2,FALSE)</f>
        <v>ADEQUAÇÃO VESTIÁRIO MASCULINO - QUADRA</v>
      </c>
      <c r="C35" s="743" t="e">
        <f>Resumo!D24</f>
        <v>#DIV/0!</v>
      </c>
      <c r="D35" s="745">
        <f>Resumo!F24</f>
        <v>0</v>
      </c>
      <c r="E35" s="231"/>
      <c r="F35" s="231">
        <v>0.5</v>
      </c>
      <c r="G35" s="231">
        <v>0.2</v>
      </c>
      <c r="H35" s="231">
        <v>0.3</v>
      </c>
      <c r="I35" s="231"/>
      <c r="J35" s="231"/>
      <c r="K35" s="23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>
      <c r="A36" s="740"/>
      <c r="B36" s="742"/>
      <c r="C36" s="742"/>
      <c r="D36" s="746"/>
      <c r="E36" s="234"/>
      <c r="F36" s="234">
        <f t="shared" ref="F36:H36" si="10">$D35*F35</f>
        <v>0</v>
      </c>
      <c r="G36" s="234">
        <f t="shared" si="10"/>
        <v>0</v>
      </c>
      <c r="H36" s="234">
        <f t="shared" si="10"/>
        <v>0</v>
      </c>
      <c r="I36" s="234"/>
      <c r="J36" s="234"/>
      <c r="K36" s="23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>
      <c r="A37" s="744">
        <v>15</v>
      </c>
      <c r="B37" s="741" t="str">
        <f>VLOOKUP(A37,Resumo!$A$10:$F$77,2,FALSE)</f>
        <v>ADEQUAÇÃO VESTUÁRIO FEMININO - QUADRA</v>
      </c>
      <c r="C37" s="743" t="e">
        <f>Resumo!D25</f>
        <v>#DIV/0!</v>
      </c>
      <c r="D37" s="745">
        <f>Resumo!F25</f>
        <v>0</v>
      </c>
      <c r="E37" s="231"/>
      <c r="F37" s="231">
        <v>0.5</v>
      </c>
      <c r="G37" s="231">
        <v>0.2</v>
      </c>
      <c r="H37" s="231">
        <v>0.3</v>
      </c>
      <c r="I37" s="231"/>
      <c r="J37" s="231"/>
      <c r="K37" s="23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>
      <c r="A38" s="740"/>
      <c r="B38" s="742"/>
      <c r="C38" s="742"/>
      <c r="D38" s="746"/>
      <c r="E38" s="234"/>
      <c r="F38" s="234">
        <f t="shared" ref="F38:H38" si="11">$D37*F37</f>
        <v>0</v>
      </c>
      <c r="G38" s="234">
        <f t="shared" si="11"/>
        <v>0</v>
      </c>
      <c r="H38" s="234">
        <f t="shared" si="11"/>
        <v>0</v>
      </c>
      <c r="I38" s="234"/>
      <c r="J38" s="234"/>
      <c r="K38" s="23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>
      <c r="A39" s="744">
        <v>16</v>
      </c>
      <c r="B39" s="741" t="str">
        <f>VLOOKUP(A39,Resumo!$A$10:$F$77,2,FALSE)</f>
        <v>ADEQUAÇÃO ARQUIBANCADA GINÁSIO</v>
      </c>
      <c r="C39" s="743" t="e">
        <f>Resumo!D26</f>
        <v>#DIV/0!</v>
      </c>
      <c r="D39" s="745">
        <f>Resumo!F26</f>
        <v>0</v>
      </c>
      <c r="E39" s="231"/>
      <c r="F39" s="231">
        <v>0.5</v>
      </c>
      <c r="G39" s="231">
        <v>0.2</v>
      </c>
      <c r="H39" s="231">
        <v>0.3</v>
      </c>
      <c r="I39" s="231"/>
      <c r="J39" s="231"/>
      <c r="K39" s="23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>
      <c r="A40" s="740"/>
      <c r="B40" s="742"/>
      <c r="C40" s="742"/>
      <c r="D40" s="746"/>
      <c r="E40" s="234"/>
      <c r="F40" s="234">
        <f t="shared" ref="F40:H40" si="12">$D39*F39</f>
        <v>0</v>
      </c>
      <c r="G40" s="234">
        <f t="shared" si="12"/>
        <v>0</v>
      </c>
      <c r="H40" s="234">
        <f t="shared" si="12"/>
        <v>0</v>
      </c>
      <c r="I40" s="234"/>
      <c r="J40" s="234"/>
      <c r="K40" s="23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>
      <c r="A41" s="744">
        <v>17</v>
      </c>
      <c r="B41" s="741" t="str">
        <f>VLOOKUP(A41,Resumo!$A$10:$F$77,2,FALSE)</f>
        <v>ADEQUAÇÃO CANTINA</v>
      </c>
      <c r="C41" s="743" t="e">
        <f>Resumo!D27</f>
        <v>#DIV/0!</v>
      </c>
      <c r="D41" s="745">
        <f>Resumo!F27</f>
        <v>0</v>
      </c>
      <c r="E41" s="231"/>
      <c r="F41" s="231">
        <v>0.5</v>
      </c>
      <c r="G41" s="231">
        <v>0.2</v>
      </c>
      <c r="H41" s="231">
        <v>0.3</v>
      </c>
      <c r="I41" s="231"/>
      <c r="J41" s="231"/>
      <c r="K41" s="232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>
      <c r="A42" s="740"/>
      <c r="B42" s="742"/>
      <c r="C42" s="742"/>
      <c r="D42" s="746"/>
      <c r="E42" s="234"/>
      <c r="F42" s="234">
        <f t="shared" ref="F42:H42" si="13">$D41*F41</f>
        <v>0</v>
      </c>
      <c r="G42" s="234">
        <f t="shared" si="13"/>
        <v>0</v>
      </c>
      <c r="H42" s="234">
        <f t="shared" si="13"/>
        <v>0</v>
      </c>
      <c r="I42" s="234"/>
      <c r="J42" s="234"/>
      <c r="K42" s="23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>
      <c r="A43" s="744">
        <v>18</v>
      </c>
      <c r="B43" s="741" t="str">
        <f>VLOOKUP(A43,Resumo!$A$10:$F$77,2,FALSE)</f>
        <v>ADEQUAÇÕES GERAIS GINÁSIO</v>
      </c>
      <c r="C43" s="743" t="e">
        <f>Resumo!D28</f>
        <v>#DIV/0!</v>
      </c>
      <c r="D43" s="745">
        <f>Resumo!F28</f>
        <v>0</v>
      </c>
      <c r="E43" s="231"/>
      <c r="F43" s="231">
        <v>0.5</v>
      </c>
      <c r="G43" s="231">
        <v>0.2</v>
      </c>
      <c r="H43" s="231">
        <v>0.3</v>
      </c>
      <c r="I43" s="231"/>
      <c r="J43" s="231"/>
      <c r="K43" s="232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>
      <c r="A44" s="740"/>
      <c r="B44" s="742"/>
      <c r="C44" s="742"/>
      <c r="D44" s="746"/>
      <c r="E44" s="234"/>
      <c r="F44" s="234">
        <f t="shared" ref="F44:H44" si="14">$D43*F43</f>
        <v>0</v>
      </c>
      <c r="G44" s="234">
        <f t="shared" si="14"/>
        <v>0</v>
      </c>
      <c r="H44" s="234">
        <f t="shared" si="14"/>
        <v>0</v>
      </c>
      <c r="I44" s="234"/>
      <c r="J44" s="234"/>
      <c r="K44" s="232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243"/>
      <c r="B45" s="244" t="str">
        <f>Resumo!B29</f>
        <v>AUDITÓRIO</v>
      </c>
      <c r="C45" s="245"/>
      <c r="D45" s="246"/>
      <c r="E45" s="247"/>
      <c r="F45" s="247"/>
      <c r="G45" s="247"/>
      <c r="H45" s="247"/>
      <c r="I45" s="247"/>
      <c r="J45" s="247"/>
      <c r="K45" s="232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>
      <c r="A46" s="744">
        <v>19</v>
      </c>
      <c r="B46" s="741" t="str">
        <f>VLOOKUP(A46,Resumo!$A$10:$F$77,2,FALSE)</f>
        <v>ADEQUAÇÃO SANITÁRIO MASCULINO AUDITÓRIO</v>
      </c>
      <c r="C46" s="743" t="e">
        <f>Resumo!D30</f>
        <v>#DIV/0!</v>
      </c>
      <c r="D46" s="745">
        <f>Resumo!F30</f>
        <v>0</v>
      </c>
      <c r="E46" s="231"/>
      <c r="F46" s="231">
        <v>0.5</v>
      </c>
      <c r="G46" s="231">
        <v>0.2</v>
      </c>
      <c r="H46" s="231">
        <v>0.3</v>
      </c>
      <c r="I46" s="231"/>
      <c r="J46" s="231"/>
      <c r="K46" s="23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740"/>
      <c r="B47" s="742"/>
      <c r="C47" s="742"/>
      <c r="D47" s="746"/>
      <c r="E47" s="234"/>
      <c r="F47" s="234">
        <f t="shared" ref="F47:H47" si="15">$D46*F46</f>
        <v>0</v>
      </c>
      <c r="G47" s="234">
        <f t="shared" si="15"/>
        <v>0</v>
      </c>
      <c r="H47" s="234">
        <f t="shared" si="15"/>
        <v>0</v>
      </c>
      <c r="I47" s="234"/>
      <c r="J47" s="234"/>
      <c r="K47" s="23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744">
        <v>20</v>
      </c>
      <c r="B48" s="741" t="str">
        <f>VLOOKUP(A48,Resumo!$A$10:$F$77,2,FALSE)</f>
        <v>ADEQUAÇÃO SANITÁRIO FEMININO AUDITÓRIO</v>
      </c>
      <c r="C48" s="743" t="e">
        <f>Resumo!D31</f>
        <v>#DIV/0!</v>
      </c>
      <c r="D48" s="745">
        <f>Resumo!F31</f>
        <v>0</v>
      </c>
      <c r="E48" s="231"/>
      <c r="F48" s="231">
        <v>0.5</v>
      </c>
      <c r="G48" s="231">
        <v>0.2</v>
      </c>
      <c r="H48" s="231">
        <v>0.3</v>
      </c>
      <c r="I48" s="231"/>
      <c r="J48" s="231"/>
      <c r="K48" s="23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740"/>
      <c r="B49" s="742"/>
      <c r="C49" s="742"/>
      <c r="D49" s="746"/>
      <c r="E49" s="234"/>
      <c r="F49" s="234">
        <f t="shared" ref="F49:H49" si="16">$D48*F48</f>
        <v>0</v>
      </c>
      <c r="G49" s="234">
        <f t="shared" si="16"/>
        <v>0</v>
      </c>
      <c r="H49" s="234">
        <f t="shared" si="16"/>
        <v>0</v>
      </c>
      <c r="I49" s="234"/>
      <c r="J49" s="234"/>
      <c r="K49" s="23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>
      <c r="A50" s="744">
        <v>21</v>
      </c>
      <c r="B50" s="741" t="str">
        <f>VLOOKUP(A50,Resumo!$A$10:$F$77,2,FALSE)</f>
        <v>ADEQUAÇÃO SALA DE PROJEÇÃO</v>
      </c>
      <c r="C50" s="743" t="e">
        <f>Resumo!D32</f>
        <v>#DIV/0!</v>
      </c>
      <c r="D50" s="745">
        <f>Resumo!F32</f>
        <v>0</v>
      </c>
      <c r="E50" s="231"/>
      <c r="F50" s="231"/>
      <c r="G50" s="231">
        <v>0.5</v>
      </c>
      <c r="H50" s="231">
        <v>0.5</v>
      </c>
      <c r="I50" s="231"/>
      <c r="J50" s="231"/>
      <c r="K50" s="23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>
      <c r="A51" s="740"/>
      <c r="B51" s="742"/>
      <c r="C51" s="742"/>
      <c r="D51" s="746"/>
      <c r="E51" s="234"/>
      <c r="F51" s="234"/>
      <c r="G51" s="234">
        <f t="shared" ref="G51:H51" si="17">$D50*G50</f>
        <v>0</v>
      </c>
      <c r="H51" s="234">
        <f t="shared" si="17"/>
        <v>0</v>
      </c>
      <c r="I51" s="234"/>
      <c r="J51" s="234"/>
      <c r="K51" s="23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>
      <c r="A52" s="744">
        <v>22</v>
      </c>
      <c r="B52" s="741" t="str">
        <f>VLOOKUP(A52,Resumo!$A$10:$F$77,2,FALSE)</f>
        <v>ADEQUAÇÃO ASSENTOS PLATEIA</v>
      </c>
      <c r="C52" s="743" t="e">
        <f>Resumo!D33</f>
        <v>#DIV/0!</v>
      </c>
      <c r="D52" s="745">
        <f>Resumo!F33</f>
        <v>0</v>
      </c>
      <c r="E52" s="231"/>
      <c r="F52" s="231"/>
      <c r="G52" s="231">
        <v>0.5</v>
      </c>
      <c r="H52" s="231">
        <v>0.5</v>
      </c>
      <c r="I52" s="231"/>
      <c r="J52" s="231"/>
      <c r="K52" s="23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>
      <c r="A53" s="740"/>
      <c r="B53" s="742"/>
      <c r="C53" s="742"/>
      <c r="D53" s="746"/>
      <c r="E53" s="234"/>
      <c r="F53" s="234"/>
      <c r="G53" s="234">
        <f t="shared" ref="G53:H53" si="18">$D52*G52</f>
        <v>0</v>
      </c>
      <c r="H53" s="234">
        <f t="shared" si="18"/>
        <v>0</v>
      </c>
      <c r="I53" s="234"/>
      <c r="J53" s="234"/>
      <c r="K53" s="23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>
      <c r="A54" s="744">
        <v>23</v>
      </c>
      <c r="B54" s="741" t="str">
        <f>VLOOKUP(A54,Resumo!$A$10:$F$77,2,FALSE)</f>
        <v>ADEQUAÇÃO ESCADA DO PALCO</v>
      </c>
      <c r="C54" s="743" t="e">
        <f>Resumo!D34</f>
        <v>#DIV/0!</v>
      </c>
      <c r="D54" s="747">
        <f>Resumo!F34</f>
        <v>0</v>
      </c>
      <c r="E54" s="231"/>
      <c r="F54" s="231"/>
      <c r="G54" s="231">
        <v>0.5</v>
      </c>
      <c r="H54" s="231">
        <v>0.5</v>
      </c>
      <c r="I54" s="231"/>
      <c r="J54" s="231"/>
      <c r="K54" s="23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>
      <c r="A55" s="740"/>
      <c r="B55" s="742"/>
      <c r="C55" s="742"/>
      <c r="D55" s="748"/>
      <c r="E55" s="234"/>
      <c r="F55" s="234"/>
      <c r="G55" s="234">
        <f t="shared" ref="G55:H55" si="19">$D54*G54</f>
        <v>0</v>
      </c>
      <c r="H55" s="234">
        <f t="shared" si="19"/>
        <v>0</v>
      </c>
      <c r="I55" s="234"/>
      <c r="J55" s="234"/>
      <c r="K55" s="23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>
      <c r="A56" s="744">
        <v>24</v>
      </c>
      <c r="B56" s="741" t="str">
        <f>VLOOKUP(A56,Resumo!$A$10:$F$77,2,FALSE)</f>
        <v xml:space="preserve">ADEQUAÇÃO BARRAS ANTI-PANICO </v>
      </c>
      <c r="C56" s="743" t="e">
        <f>Resumo!D35</f>
        <v>#DIV/0!</v>
      </c>
      <c r="D56" s="747">
        <f>Resumo!F35</f>
        <v>0</v>
      </c>
      <c r="E56" s="231"/>
      <c r="F56" s="231"/>
      <c r="G56" s="231">
        <v>0.5</v>
      </c>
      <c r="H56" s="231">
        <v>0.5</v>
      </c>
      <c r="I56" s="231"/>
      <c r="J56" s="231"/>
      <c r="K56" s="232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>
      <c r="A57" s="740"/>
      <c r="B57" s="742"/>
      <c r="C57" s="742"/>
      <c r="D57" s="748"/>
      <c r="E57" s="234"/>
      <c r="F57" s="234"/>
      <c r="G57" s="234">
        <f t="shared" ref="G57:H57" si="20">$D56*G56</f>
        <v>0</v>
      </c>
      <c r="H57" s="234">
        <f t="shared" si="20"/>
        <v>0</v>
      </c>
      <c r="I57" s="234"/>
      <c r="J57" s="234"/>
      <c r="K57" s="23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>
      <c r="A58" s="744">
        <v>25</v>
      </c>
      <c r="B58" s="741" t="str">
        <f>VLOOKUP(A58,Resumo!$A$10:$F$77,2,FALSE)</f>
        <v>ADEQUAÇÃO RAMPA EXTERNA AUDITÓRIO</v>
      </c>
      <c r="C58" s="743" t="e">
        <f>Resumo!D36</f>
        <v>#DIV/0!</v>
      </c>
      <c r="D58" s="747">
        <f>Resumo!F36</f>
        <v>0</v>
      </c>
      <c r="E58" s="231"/>
      <c r="F58" s="231"/>
      <c r="G58" s="231">
        <v>0.5</v>
      </c>
      <c r="H58" s="231">
        <v>0.5</v>
      </c>
      <c r="I58" s="231"/>
      <c r="J58" s="231"/>
      <c r="K58" s="23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740"/>
      <c r="B59" s="742"/>
      <c r="C59" s="742"/>
      <c r="D59" s="748"/>
      <c r="E59" s="234"/>
      <c r="F59" s="234"/>
      <c r="G59" s="234">
        <f t="shared" ref="G59:H59" si="21">$D58*G58</f>
        <v>0</v>
      </c>
      <c r="H59" s="234">
        <f t="shared" si="21"/>
        <v>0</v>
      </c>
      <c r="I59" s="234"/>
      <c r="J59" s="234"/>
      <c r="K59" s="23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243"/>
      <c r="B60" s="244" t="str">
        <f>Resumo!B37</f>
        <v>ADMINISTRATIVO</v>
      </c>
      <c r="C60" s="245"/>
      <c r="D60" s="272"/>
      <c r="E60" s="247"/>
      <c r="F60" s="247"/>
      <c r="G60" s="247"/>
      <c r="H60" s="247"/>
      <c r="I60" s="247"/>
      <c r="J60" s="247"/>
      <c r="K60" s="23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>
      <c r="A61" s="739">
        <v>26</v>
      </c>
      <c r="B61" s="741" t="str">
        <f>VLOOKUP(A61,Resumo!$A$10:$F$77,2,FALSE)</f>
        <v>ADEQUAÇÃO SANITARIO MASCULINO TÉRREO ADMINISTRATIVO (SANITÁRIO DE USO PÚBLICO)  DETALHE 01</v>
      </c>
      <c r="C61" s="743" t="e">
        <f>Resumo!D38</f>
        <v>#DIV/0!</v>
      </c>
      <c r="D61" s="747">
        <f>Resumo!F38</f>
        <v>0</v>
      </c>
      <c r="E61" s="231"/>
      <c r="F61" s="231"/>
      <c r="G61" s="231">
        <v>0.5</v>
      </c>
      <c r="H61" s="231">
        <v>0.5</v>
      </c>
      <c r="I61" s="231"/>
      <c r="J61" s="231"/>
      <c r="K61" s="23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>
      <c r="A62" s="740"/>
      <c r="B62" s="742"/>
      <c r="C62" s="742"/>
      <c r="D62" s="748"/>
      <c r="E62" s="234"/>
      <c r="F62" s="234"/>
      <c r="G62" s="234">
        <f t="shared" ref="G62:H62" si="22">$D61*G61</f>
        <v>0</v>
      </c>
      <c r="H62" s="234">
        <f t="shared" si="22"/>
        <v>0</v>
      </c>
      <c r="I62" s="234"/>
      <c r="J62" s="234"/>
      <c r="K62" s="232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>
      <c r="A63" s="739">
        <v>27</v>
      </c>
      <c r="B63" s="741" t="str">
        <f>VLOOKUP(A63,Resumo!$A$10:$F$77,2,FALSE)</f>
        <v>ADEQUAÇÃO ESCADA (ENTRE SANITÁRIOS MASCULINO E FEMININO)</v>
      </c>
      <c r="C63" s="743" t="e">
        <f>Resumo!D39</f>
        <v>#DIV/0!</v>
      </c>
      <c r="D63" s="747">
        <f>Resumo!F39</f>
        <v>0</v>
      </c>
      <c r="E63" s="231"/>
      <c r="F63" s="231"/>
      <c r="G63" s="231">
        <v>0.5</v>
      </c>
      <c r="H63" s="231">
        <v>0.5</v>
      </c>
      <c r="I63" s="231"/>
      <c r="J63" s="231"/>
      <c r="K63" s="232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>
      <c r="A64" s="740"/>
      <c r="B64" s="742"/>
      <c r="C64" s="742"/>
      <c r="D64" s="748"/>
      <c r="E64" s="234"/>
      <c r="F64" s="234"/>
      <c r="G64" s="234">
        <f t="shared" ref="G64:H64" si="23">$D63*G63</f>
        <v>0</v>
      </c>
      <c r="H64" s="234">
        <f t="shared" si="23"/>
        <v>0</v>
      </c>
      <c r="I64" s="234"/>
      <c r="J64" s="234"/>
      <c r="K64" s="23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>
      <c r="A65" s="739">
        <v>28</v>
      </c>
      <c r="B65" s="741" t="str">
        <f>VLOOKUP(A65,Resumo!$A$10:$F$77,2,FALSE)</f>
        <v>ADEQUAÇÃO SANITARIO FEMININO TÉRREO ADMINISTRATIVO (SANITÁRIO DE USO PÚBLICO) DETALHE 01</v>
      </c>
      <c r="C65" s="743" t="e">
        <f>Resumo!D40</f>
        <v>#DIV/0!</v>
      </c>
      <c r="D65" s="747">
        <f>Resumo!F40</f>
        <v>0</v>
      </c>
      <c r="E65" s="231"/>
      <c r="F65" s="231"/>
      <c r="G65" s="231">
        <v>0.5</v>
      </c>
      <c r="H65" s="231">
        <v>0.5</v>
      </c>
      <c r="I65" s="231"/>
      <c r="J65" s="231"/>
      <c r="K65" s="232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>
      <c r="A66" s="740"/>
      <c r="B66" s="742"/>
      <c r="C66" s="742"/>
      <c r="D66" s="748"/>
      <c r="E66" s="234"/>
      <c r="F66" s="234"/>
      <c r="G66" s="234">
        <f t="shared" ref="G66:H66" si="24">$D65*G65</f>
        <v>0</v>
      </c>
      <c r="H66" s="234">
        <f t="shared" si="24"/>
        <v>0</v>
      </c>
      <c r="I66" s="234"/>
      <c r="J66" s="234"/>
      <c r="K66" s="232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>
      <c r="A67" s="739">
        <v>29</v>
      </c>
      <c r="B67" s="741" t="str">
        <f>VLOOKUP(A67,Resumo!$A$10:$F$77,2,FALSE)</f>
        <v xml:space="preserve">ADEQUAÇÃO ESCADA PRINCIPAL </v>
      </c>
      <c r="C67" s="743" t="e">
        <f>Resumo!D41</f>
        <v>#DIV/0!</v>
      </c>
      <c r="D67" s="747">
        <f>Resumo!F41</f>
        <v>0</v>
      </c>
      <c r="E67" s="231"/>
      <c r="F67" s="231"/>
      <c r="G67" s="231">
        <v>0.2</v>
      </c>
      <c r="H67" s="231">
        <v>0.4</v>
      </c>
      <c r="I67" s="231">
        <v>0.4</v>
      </c>
      <c r="J67" s="231"/>
      <c r="K67" s="23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>
      <c r="A68" s="740"/>
      <c r="B68" s="742"/>
      <c r="C68" s="742"/>
      <c r="D68" s="748"/>
      <c r="E68" s="234"/>
      <c r="F68" s="234"/>
      <c r="G68" s="234">
        <f t="shared" ref="G68:I68" si="25">$D67*G67</f>
        <v>0</v>
      </c>
      <c r="H68" s="234">
        <f t="shared" si="25"/>
        <v>0</v>
      </c>
      <c r="I68" s="234">
        <f t="shared" si="25"/>
        <v>0</v>
      </c>
      <c r="J68" s="234"/>
      <c r="K68" s="232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>
      <c r="A69" s="739">
        <v>30</v>
      </c>
      <c r="B69" s="741" t="str">
        <f>VLOOKUP(A69,Resumo!$A$10:$F$77,2,FALSE)</f>
        <v>ADEQUAÇÃO SAÍDA 03 TÉRREO</v>
      </c>
      <c r="C69" s="743" t="e">
        <f>Resumo!D42</f>
        <v>#DIV/0!</v>
      </c>
      <c r="D69" s="747">
        <f>Resumo!F42</f>
        <v>0</v>
      </c>
      <c r="E69" s="231"/>
      <c r="F69" s="231"/>
      <c r="G69" s="231">
        <v>0.2</v>
      </c>
      <c r="H69" s="231">
        <v>0.4</v>
      </c>
      <c r="I69" s="231">
        <v>0.4</v>
      </c>
      <c r="J69" s="231"/>
      <c r="K69" s="232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>
      <c r="A70" s="740"/>
      <c r="B70" s="742"/>
      <c r="C70" s="742"/>
      <c r="D70" s="748"/>
      <c r="E70" s="234"/>
      <c r="F70" s="234"/>
      <c r="G70" s="234">
        <f t="shared" ref="G70:I70" si="26">$D69*G69</f>
        <v>0</v>
      </c>
      <c r="H70" s="234">
        <f t="shared" si="26"/>
        <v>0</v>
      </c>
      <c r="I70" s="234">
        <f t="shared" si="26"/>
        <v>0</v>
      </c>
      <c r="J70" s="234"/>
      <c r="K70" s="23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>
      <c r="A71" s="739">
        <v>31</v>
      </c>
      <c r="B71" s="741" t="str">
        <f>VLOOKUP(A71,Resumo!$A$10:$F$77,2,FALSE)</f>
        <v xml:space="preserve"> SANITÁRIO MASCULINO SERVIDORES ADMNISTRATIVO TÉRREO - DETALHE 03</v>
      </c>
      <c r="C71" s="743" t="e">
        <f>Resumo!D43</f>
        <v>#DIV/0!</v>
      </c>
      <c r="D71" s="747">
        <f>Resumo!F43</f>
        <v>0</v>
      </c>
      <c r="E71" s="231"/>
      <c r="F71" s="231"/>
      <c r="G71" s="231">
        <v>0.2</v>
      </c>
      <c r="H71" s="231">
        <v>0.4</v>
      </c>
      <c r="I71" s="231">
        <v>0.4</v>
      </c>
      <c r="J71" s="231"/>
      <c r="K71" s="23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>
      <c r="A72" s="740"/>
      <c r="B72" s="742"/>
      <c r="C72" s="742"/>
      <c r="D72" s="748"/>
      <c r="E72" s="234"/>
      <c r="F72" s="234"/>
      <c r="G72" s="234">
        <f t="shared" ref="G72:I72" si="27">$D71*G71</f>
        <v>0</v>
      </c>
      <c r="H72" s="234">
        <f t="shared" si="27"/>
        <v>0</v>
      </c>
      <c r="I72" s="234">
        <f t="shared" si="27"/>
        <v>0</v>
      </c>
      <c r="J72" s="234"/>
      <c r="K72" s="23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739">
        <v>32</v>
      </c>
      <c r="B73" s="741" t="str">
        <f>VLOOKUP(A73,Resumo!$A$10:$F$77,2,FALSE)</f>
        <v>SANITÁRIO FEMININO SERVIDORES - ADMINISTRATIVO TÉRREO DETALHE 03</v>
      </c>
      <c r="C73" s="743" t="e">
        <f>Resumo!D44</f>
        <v>#DIV/0!</v>
      </c>
      <c r="D73" s="747">
        <f>Resumo!F44</f>
        <v>0</v>
      </c>
      <c r="E73" s="231"/>
      <c r="F73" s="231"/>
      <c r="G73" s="231">
        <v>0.2</v>
      </c>
      <c r="H73" s="231">
        <v>0.4</v>
      </c>
      <c r="I73" s="231">
        <v>0.4</v>
      </c>
      <c r="J73" s="231"/>
      <c r="K73" s="23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>
      <c r="A74" s="740"/>
      <c r="B74" s="742"/>
      <c r="C74" s="742"/>
      <c r="D74" s="748"/>
      <c r="E74" s="234"/>
      <c r="F74" s="234"/>
      <c r="G74" s="234">
        <f t="shared" ref="G74:I74" si="28">$D73*G73</f>
        <v>0</v>
      </c>
      <c r="H74" s="234">
        <f t="shared" si="28"/>
        <v>0</v>
      </c>
      <c r="I74" s="234">
        <f t="shared" si="28"/>
        <v>0</v>
      </c>
      <c r="J74" s="234"/>
      <c r="K74" s="23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>
      <c r="A75" s="739">
        <v>33</v>
      </c>
      <c r="B75" s="741" t="str">
        <f>VLOOKUP(A75,Resumo!$A$10:$F$77,2,FALSE)</f>
        <v>ADEQUAÇÃO VESTIÁRIO FEMININO ADMINISTRATIVO - detalhe 04</v>
      </c>
      <c r="C75" s="743" t="e">
        <f>Resumo!D45</f>
        <v>#DIV/0!</v>
      </c>
      <c r="D75" s="747">
        <f>Resumo!F45</f>
        <v>0</v>
      </c>
      <c r="E75" s="231"/>
      <c r="F75" s="231"/>
      <c r="G75" s="231">
        <v>0.2</v>
      </c>
      <c r="H75" s="231">
        <v>0.4</v>
      </c>
      <c r="I75" s="231">
        <v>0.4</v>
      </c>
      <c r="J75" s="231"/>
      <c r="K75" s="23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740"/>
      <c r="B76" s="742"/>
      <c r="C76" s="742"/>
      <c r="D76" s="748"/>
      <c r="E76" s="234"/>
      <c r="F76" s="234"/>
      <c r="G76" s="234">
        <f t="shared" ref="G76:I76" si="29">$D75*G75</f>
        <v>0</v>
      </c>
      <c r="H76" s="234">
        <f t="shared" si="29"/>
        <v>0</v>
      </c>
      <c r="I76" s="234">
        <f t="shared" si="29"/>
        <v>0</v>
      </c>
      <c r="J76" s="234"/>
      <c r="K76" s="23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>
      <c r="A77" s="739">
        <v>34</v>
      </c>
      <c r="B77" s="741" t="str">
        <f>VLOOKUP(A77,Resumo!$A$10:$F$77,2,FALSE)</f>
        <v>ADEQUAÇÃO VESTIÁRIO MASCULINO ADMINISTRATIVO - DETALHE 05</v>
      </c>
      <c r="C77" s="743" t="e">
        <f>Resumo!D46</f>
        <v>#DIV/0!</v>
      </c>
      <c r="D77" s="747">
        <f>Resumo!F46</f>
        <v>0</v>
      </c>
      <c r="E77" s="231"/>
      <c r="F77" s="231"/>
      <c r="G77" s="231">
        <v>0.2</v>
      </c>
      <c r="H77" s="231">
        <v>0.4</v>
      </c>
      <c r="I77" s="231">
        <v>0.4</v>
      </c>
      <c r="J77" s="231"/>
      <c r="K77" s="23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>
      <c r="A78" s="740"/>
      <c r="B78" s="742"/>
      <c r="C78" s="742"/>
      <c r="D78" s="748"/>
      <c r="E78" s="234"/>
      <c r="F78" s="234"/>
      <c r="G78" s="234">
        <f t="shared" ref="G78:I78" si="30">$D77*G77</f>
        <v>0</v>
      </c>
      <c r="H78" s="234">
        <f t="shared" si="30"/>
        <v>0</v>
      </c>
      <c r="I78" s="234">
        <f t="shared" si="30"/>
        <v>0</v>
      </c>
      <c r="J78" s="234"/>
      <c r="K78" s="23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>
      <c r="A79" s="739">
        <v>35</v>
      </c>
      <c r="B79" s="741" t="str">
        <f>VLOOKUP(A79,Resumo!$A$10:$F$77,2,FALSE)</f>
        <v>ADEQUAÇÃO SANITARIO MASCULINO SUPERIOR ADMINISTRATIVO</v>
      </c>
      <c r="C79" s="743" t="e">
        <f>Resumo!D47</f>
        <v>#DIV/0!</v>
      </c>
      <c r="D79" s="747">
        <f>Resumo!F47</f>
        <v>0</v>
      </c>
      <c r="E79" s="231"/>
      <c r="F79" s="231"/>
      <c r="G79" s="231">
        <v>0.2</v>
      </c>
      <c r="H79" s="231">
        <v>0.4</v>
      </c>
      <c r="I79" s="231">
        <v>0.4</v>
      </c>
      <c r="J79" s="231"/>
      <c r="K79" s="23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>
      <c r="A80" s="740"/>
      <c r="B80" s="742"/>
      <c r="C80" s="742"/>
      <c r="D80" s="748"/>
      <c r="E80" s="234"/>
      <c r="F80" s="234"/>
      <c r="G80" s="234">
        <f t="shared" ref="G80:I80" si="31">$D79*G79</f>
        <v>0</v>
      </c>
      <c r="H80" s="234">
        <f t="shared" si="31"/>
        <v>0</v>
      </c>
      <c r="I80" s="234">
        <f t="shared" si="31"/>
        <v>0</v>
      </c>
      <c r="J80" s="234"/>
      <c r="K80" s="23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>
      <c r="A81" s="739">
        <v>36</v>
      </c>
      <c r="B81" s="741" t="str">
        <f>VLOOKUP(A81,Resumo!$A$10:$F$77,2,FALSE)</f>
        <v>ADEQUAÇÃO SANITARIO FEMININO SUPERIOR ADMINISTRATIVO</v>
      </c>
      <c r="C81" s="743" t="e">
        <f>Resumo!D48</f>
        <v>#DIV/0!</v>
      </c>
      <c r="D81" s="747">
        <f>Resumo!F48</f>
        <v>0</v>
      </c>
      <c r="E81" s="231"/>
      <c r="F81" s="231"/>
      <c r="G81" s="231">
        <v>0.2</v>
      </c>
      <c r="H81" s="231">
        <v>0.4</v>
      </c>
      <c r="I81" s="231">
        <v>0.4</v>
      </c>
      <c r="J81" s="231"/>
      <c r="K81" s="23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740"/>
      <c r="B82" s="742"/>
      <c r="C82" s="742"/>
      <c r="D82" s="748"/>
      <c r="E82" s="234"/>
      <c r="F82" s="234"/>
      <c r="G82" s="234">
        <f t="shared" ref="G82:I82" si="32">$D81*G81</f>
        <v>0</v>
      </c>
      <c r="H82" s="234">
        <f t="shared" si="32"/>
        <v>0</v>
      </c>
      <c r="I82" s="234">
        <f t="shared" si="32"/>
        <v>0</v>
      </c>
      <c r="J82" s="234"/>
      <c r="K82" s="232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>
      <c r="A83" s="739">
        <v>37</v>
      </c>
      <c r="B83" s="741" t="str">
        <f>VLOOKUP(A83,Resumo!$A$10:$F$77,2,FALSE)</f>
        <v>SANITÁRIO MASCULINO BIBLIOTECA</v>
      </c>
      <c r="C83" s="743" t="e">
        <f>Resumo!D49</f>
        <v>#DIV/0!</v>
      </c>
      <c r="D83" s="747">
        <f>Resumo!F49</f>
        <v>0</v>
      </c>
      <c r="E83" s="231"/>
      <c r="F83" s="231"/>
      <c r="G83" s="231">
        <v>0.2</v>
      </c>
      <c r="H83" s="231">
        <v>0.4</v>
      </c>
      <c r="I83" s="231">
        <v>0.4</v>
      </c>
      <c r="J83" s="231"/>
      <c r="K83" s="232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>
      <c r="A84" s="740"/>
      <c r="B84" s="742"/>
      <c r="C84" s="742"/>
      <c r="D84" s="748"/>
      <c r="E84" s="234"/>
      <c r="F84" s="234"/>
      <c r="G84" s="234">
        <f t="shared" ref="G84:I84" si="33">$D83*G83</f>
        <v>0</v>
      </c>
      <c r="H84" s="234">
        <f t="shared" si="33"/>
        <v>0</v>
      </c>
      <c r="I84" s="234">
        <f t="shared" si="33"/>
        <v>0</v>
      </c>
      <c r="J84" s="234"/>
      <c r="K84" s="232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>
      <c r="A85" s="739">
        <v>38</v>
      </c>
      <c r="B85" s="741" t="str">
        <f>VLOOKUP(A85,Resumo!$A$10:$F$77,2,FALSE)</f>
        <v>SANITÁRIO FEMININO BIBLIOTECA</v>
      </c>
      <c r="C85" s="743" t="e">
        <f>Resumo!D50</f>
        <v>#DIV/0!</v>
      </c>
      <c r="D85" s="747">
        <f>Resumo!F50</f>
        <v>0</v>
      </c>
      <c r="E85" s="231"/>
      <c r="F85" s="231"/>
      <c r="G85" s="231">
        <v>0.2</v>
      </c>
      <c r="H85" s="231">
        <v>0.4</v>
      </c>
      <c r="I85" s="231">
        <v>0.4</v>
      </c>
      <c r="J85" s="231"/>
      <c r="K85" s="232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>
      <c r="A86" s="740"/>
      <c r="B86" s="742"/>
      <c r="C86" s="742"/>
      <c r="D86" s="748"/>
      <c r="E86" s="234"/>
      <c r="F86" s="234"/>
      <c r="G86" s="234">
        <f t="shared" ref="G86:I86" si="34">$D85*G85</f>
        <v>0</v>
      </c>
      <c r="H86" s="234">
        <f t="shared" si="34"/>
        <v>0</v>
      </c>
      <c r="I86" s="234">
        <f t="shared" si="34"/>
        <v>0</v>
      </c>
      <c r="J86" s="234"/>
      <c r="K86" s="232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>
      <c r="A87" s="739">
        <v>39</v>
      </c>
      <c r="B87" s="741" t="str">
        <f>VLOOKUP(A87,Resumo!$A$10:$F$77,2,FALSE)</f>
        <v>SANITÁRIO FEMININO E MASCULINO EXCLUSIVO BIBLIOTECA</v>
      </c>
      <c r="C87" s="743" t="e">
        <f>Resumo!D51</f>
        <v>#DIV/0!</v>
      </c>
      <c r="D87" s="747">
        <f>Resumo!F51</f>
        <v>0</v>
      </c>
      <c r="E87" s="231"/>
      <c r="F87" s="231"/>
      <c r="G87" s="231">
        <v>0.2</v>
      </c>
      <c r="H87" s="231">
        <v>0.4</v>
      </c>
      <c r="I87" s="231">
        <v>0.4</v>
      </c>
      <c r="J87" s="231"/>
      <c r="K87" s="232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>
      <c r="A88" s="740"/>
      <c r="B88" s="742"/>
      <c r="C88" s="742"/>
      <c r="D88" s="748"/>
      <c r="E88" s="234"/>
      <c r="F88" s="234"/>
      <c r="G88" s="234">
        <f t="shared" ref="G88:I88" si="35">$D87*G87</f>
        <v>0</v>
      </c>
      <c r="H88" s="234">
        <f t="shared" si="35"/>
        <v>0</v>
      </c>
      <c r="I88" s="234">
        <f t="shared" si="35"/>
        <v>0</v>
      </c>
      <c r="J88" s="234"/>
      <c r="K88" s="232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>
      <c r="A89" s="739">
        <v>40</v>
      </c>
      <c r="B89" s="741" t="str">
        <f>VLOOKUP(A89,Resumo!$A$10:$F$77,2,FALSE)</f>
        <v>ADEQUAÇÃO ESCADA EXTERNA ADMINISTRATIVO</v>
      </c>
      <c r="C89" s="743" t="e">
        <f>Resumo!D52</f>
        <v>#DIV/0!</v>
      </c>
      <c r="D89" s="747">
        <f>Resumo!F52</f>
        <v>0</v>
      </c>
      <c r="E89" s="231"/>
      <c r="F89" s="231"/>
      <c r="G89" s="231">
        <v>0.2</v>
      </c>
      <c r="H89" s="231">
        <v>0.4</v>
      </c>
      <c r="I89" s="231">
        <v>0.4</v>
      </c>
      <c r="J89" s="231"/>
      <c r="K89" s="232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>
      <c r="A90" s="740"/>
      <c r="B90" s="742"/>
      <c r="C90" s="742"/>
      <c r="D90" s="748"/>
      <c r="E90" s="234"/>
      <c r="F90" s="234"/>
      <c r="G90" s="234">
        <f t="shared" ref="G90:I90" si="36">$D89*G89</f>
        <v>0</v>
      </c>
      <c r="H90" s="234">
        <f t="shared" si="36"/>
        <v>0</v>
      </c>
      <c r="I90" s="234">
        <f t="shared" si="36"/>
        <v>0</v>
      </c>
      <c r="J90" s="234"/>
      <c r="K90" s="232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>
      <c r="A91" s="739">
        <v>41</v>
      </c>
      <c r="B91" s="741" t="str">
        <f>VLOOKUP(A91,Resumo!$A$10:$F$77,2,FALSE)</f>
        <v>ADEQUAÇÃO SAÍDA 01 TÉRREO</v>
      </c>
      <c r="C91" s="743" t="e">
        <f>Resumo!D53</f>
        <v>#DIV/0!</v>
      </c>
      <c r="D91" s="747">
        <f>Resumo!F53</f>
        <v>0</v>
      </c>
      <c r="E91" s="231"/>
      <c r="F91" s="231"/>
      <c r="G91" s="231">
        <v>0.2</v>
      </c>
      <c r="H91" s="231">
        <v>0.4</v>
      </c>
      <c r="I91" s="231">
        <v>0.4</v>
      </c>
      <c r="J91" s="231"/>
      <c r="K91" s="232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>
      <c r="A92" s="740"/>
      <c r="B92" s="742"/>
      <c r="C92" s="742"/>
      <c r="D92" s="748"/>
      <c r="E92" s="234"/>
      <c r="F92" s="234"/>
      <c r="G92" s="234">
        <f t="shared" ref="G92:I92" si="37">$D91*G91</f>
        <v>0</v>
      </c>
      <c r="H92" s="234">
        <f t="shared" si="37"/>
        <v>0</v>
      </c>
      <c r="I92" s="234">
        <f t="shared" si="37"/>
        <v>0</v>
      </c>
      <c r="J92" s="234"/>
      <c r="K92" s="23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0.5" customHeight="1">
      <c r="A93" s="243"/>
      <c r="B93" s="244" t="str">
        <f>Resumo!B54</f>
        <v>SALAS DE AULAS</v>
      </c>
      <c r="C93" s="245"/>
      <c r="D93" s="272"/>
      <c r="E93" s="247"/>
      <c r="F93" s="247"/>
      <c r="G93" s="247"/>
      <c r="H93" s="247"/>
      <c r="I93" s="247"/>
      <c r="J93" s="247"/>
      <c r="K93" s="23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>
      <c r="A94" s="739">
        <v>42</v>
      </c>
      <c r="B94" s="741" t="str">
        <f>VLOOKUP(A94,Resumo!$A$10:$F$77,2,FALSE)</f>
        <v xml:space="preserve">ADEQUAÇÃO ESCADA EXTERNA EXISTENTE NO BLOCO A </v>
      </c>
      <c r="C94" s="743" t="e">
        <f>Resumo!D55</f>
        <v>#DIV/0!</v>
      </c>
      <c r="D94" s="747">
        <f>Resumo!F55</f>
        <v>0</v>
      </c>
      <c r="E94" s="231"/>
      <c r="F94" s="231"/>
      <c r="G94" s="231">
        <v>0.2</v>
      </c>
      <c r="H94" s="231">
        <v>0.4</v>
      </c>
      <c r="I94" s="231">
        <v>0.4</v>
      </c>
      <c r="J94" s="231"/>
      <c r="K94" s="232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>
      <c r="A95" s="740"/>
      <c r="B95" s="742"/>
      <c r="C95" s="742"/>
      <c r="D95" s="748"/>
      <c r="E95" s="234"/>
      <c r="F95" s="234"/>
      <c r="G95" s="234">
        <f t="shared" ref="G95:I95" si="38">$D94*G94</f>
        <v>0</v>
      </c>
      <c r="H95" s="234">
        <f t="shared" si="38"/>
        <v>0</v>
      </c>
      <c r="I95" s="234">
        <f t="shared" si="38"/>
        <v>0</v>
      </c>
      <c r="J95" s="234"/>
      <c r="K95" s="232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>
      <c r="A96" s="739">
        <v>43</v>
      </c>
      <c r="B96" s="741" t="str">
        <f>VLOOKUP(A96,Resumo!$A$10:$F$77,2,FALSE)</f>
        <v xml:space="preserve">EXECUÇÃO  DE ESCADA PARA CRIAÇÃO DE  NOVA SAÍDA DE EMERGÊNCIA NO BLOCO A </v>
      </c>
      <c r="C96" s="743" t="e">
        <f>Resumo!D56</f>
        <v>#DIV/0!</v>
      </c>
      <c r="D96" s="747">
        <f>Resumo!F56</f>
        <v>0</v>
      </c>
      <c r="E96" s="231"/>
      <c r="F96" s="231"/>
      <c r="G96" s="231">
        <v>0.2</v>
      </c>
      <c r="H96" s="231">
        <v>0.4</v>
      </c>
      <c r="I96" s="231">
        <v>0.4</v>
      </c>
      <c r="J96" s="231"/>
      <c r="K96" s="232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>
      <c r="A97" s="740"/>
      <c r="B97" s="742"/>
      <c r="C97" s="742"/>
      <c r="D97" s="748"/>
      <c r="E97" s="234"/>
      <c r="F97" s="234"/>
      <c r="G97" s="234">
        <f t="shared" ref="G97:I97" si="39">$D96*G96</f>
        <v>0</v>
      </c>
      <c r="H97" s="234">
        <f t="shared" si="39"/>
        <v>0</v>
      </c>
      <c r="I97" s="234">
        <f t="shared" si="39"/>
        <v>0</v>
      </c>
      <c r="J97" s="234"/>
      <c r="K97" s="232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>
      <c r="A98" s="739">
        <v>44</v>
      </c>
      <c r="B98" s="741" t="str">
        <f>VLOOKUP(A98,Resumo!$A$10:$F$77,2,FALSE)</f>
        <v xml:space="preserve">ADEQUAÇÃO ESCADA EXTERNA BLOCO B </v>
      </c>
      <c r="C98" s="743" t="e">
        <f>Resumo!D57</f>
        <v>#DIV/0!</v>
      </c>
      <c r="D98" s="747">
        <f>Resumo!F57</f>
        <v>0</v>
      </c>
      <c r="E98" s="231"/>
      <c r="F98" s="231"/>
      <c r="G98" s="231">
        <v>0.2</v>
      </c>
      <c r="H98" s="231">
        <v>0.4</v>
      </c>
      <c r="I98" s="231">
        <v>0.4</v>
      </c>
      <c r="J98" s="231"/>
      <c r="K98" s="23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>
      <c r="A99" s="740"/>
      <c r="B99" s="742"/>
      <c r="C99" s="742"/>
      <c r="D99" s="748"/>
      <c r="E99" s="234"/>
      <c r="F99" s="234"/>
      <c r="G99" s="234">
        <f t="shared" ref="G99:I99" si="40">$D98*G98</f>
        <v>0</v>
      </c>
      <c r="H99" s="234">
        <f t="shared" si="40"/>
        <v>0</v>
      </c>
      <c r="I99" s="234">
        <f t="shared" si="40"/>
        <v>0</v>
      </c>
      <c r="J99" s="234"/>
      <c r="K99" s="232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>
      <c r="A100" s="739">
        <v>45</v>
      </c>
      <c r="B100" s="741" t="str">
        <f>VLOOKUP(A100,Resumo!$A$10:$F$77,2,FALSE)</f>
        <v>EXECUÇÃO  DE ESCADA PARA CRIAÇÃO DE  NOVA SAÍDA DE EMERGÊNCIA NO BLOCO B</v>
      </c>
      <c r="C100" s="743" t="e">
        <f>Resumo!D58</f>
        <v>#DIV/0!</v>
      </c>
      <c r="D100" s="747">
        <f>Resumo!F58</f>
        <v>0</v>
      </c>
      <c r="E100" s="231"/>
      <c r="F100" s="231"/>
      <c r="G100" s="231">
        <v>0.2</v>
      </c>
      <c r="H100" s="231">
        <v>0.4</v>
      </c>
      <c r="I100" s="231">
        <v>0.4</v>
      </c>
      <c r="J100" s="231"/>
      <c r="K100" s="232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>
      <c r="A101" s="740"/>
      <c r="B101" s="742"/>
      <c r="C101" s="742"/>
      <c r="D101" s="748"/>
      <c r="E101" s="234"/>
      <c r="F101" s="234"/>
      <c r="G101" s="234">
        <f t="shared" ref="G101:I101" si="41">$D100*G100</f>
        <v>0</v>
      </c>
      <c r="H101" s="234">
        <f t="shared" si="41"/>
        <v>0</v>
      </c>
      <c r="I101" s="234">
        <f t="shared" si="41"/>
        <v>0</v>
      </c>
      <c r="J101" s="234"/>
      <c r="K101" s="23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>
      <c r="A102" s="739">
        <v>46</v>
      </c>
      <c r="B102" s="741" t="str">
        <f>VLOOKUP(A102,Resumo!$A$10:$F$77,2,FALSE)</f>
        <v xml:space="preserve">ESCADA CENTRAL BLOCO B </v>
      </c>
      <c r="C102" s="743" t="e">
        <f>Resumo!D59</f>
        <v>#DIV/0!</v>
      </c>
      <c r="D102" s="747">
        <f>Resumo!F59</f>
        <v>0</v>
      </c>
      <c r="E102" s="231"/>
      <c r="F102" s="231"/>
      <c r="G102" s="231">
        <v>0.2</v>
      </c>
      <c r="H102" s="231">
        <v>0.4</v>
      </c>
      <c r="I102" s="231">
        <v>0.4</v>
      </c>
      <c r="J102" s="231"/>
      <c r="K102" s="23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>
      <c r="A103" s="740"/>
      <c r="B103" s="742"/>
      <c r="C103" s="742"/>
      <c r="D103" s="748"/>
      <c r="E103" s="234"/>
      <c r="F103" s="234"/>
      <c r="G103" s="234">
        <f t="shared" ref="G103:I103" si="42">$D102*G102</f>
        <v>0</v>
      </c>
      <c r="H103" s="234">
        <f t="shared" si="42"/>
        <v>0</v>
      </c>
      <c r="I103" s="234">
        <f t="shared" si="42"/>
        <v>0</v>
      </c>
      <c r="J103" s="234"/>
      <c r="K103" s="232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>
      <c r="A104" s="739">
        <v>47</v>
      </c>
      <c r="B104" s="741" t="str">
        <f>VLOOKUP(A104,Resumo!$A$10:$F$77,2,FALSE)</f>
        <v xml:space="preserve">ESCADA CENTRAL BLOCO A </v>
      </c>
      <c r="C104" s="743" t="e">
        <f>Resumo!D60</f>
        <v>#DIV/0!</v>
      </c>
      <c r="D104" s="747">
        <f>Resumo!F60</f>
        <v>0</v>
      </c>
      <c r="E104" s="231"/>
      <c r="F104" s="231"/>
      <c r="G104" s="231">
        <v>0.2</v>
      </c>
      <c r="H104" s="231">
        <v>0.4</v>
      </c>
      <c r="I104" s="231">
        <v>0.4</v>
      </c>
      <c r="J104" s="231"/>
      <c r="K104" s="232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>
      <c r="A105" s="740"/>
      <c r="B105" s="742"/>
      <c r="C105" s="742"/>
      <c r="D105" s="748"/>
      <c r="E105" s="234"/>
      <c r="F105" s="234"/>
      <c r="G105" s="234">
        <f t="shared" ref="G105:I105" si="43">$D104*G104</f>
        <v>0</v>
      </c>
      <c r="H105" s="234">
        <f t="shared" si="43"/>
        <v>0</v>
      </c>
      <c r="I105" s="234">
        <f t="shared" si="43"/>
        <v>0</v>
      </c>
      <c r="J105" s="234"/>
      <c r="K105" s="232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>
      <c r="A106" s="739">
        <v>49</v>
      </c>
      <c r="B106" s="741" t="str">
        <f>VLOOKUP(A106,Resumo!$A$10:$F$77,2,FALSE)</f>
        <v>SANITÁRIO FEMININO TÉRREO BLOCO A</v>
      </c>
      <c r="C106" s="743" t="e">
        <f>Resumo!D61</f>
        <v>#DIV/0!</v>
      </c>
      <c r="D106" s="747">
        <f>Resumo!F61</f>
        <v>0</v>
      </c>
      <c r="E106" s="231"/>
      <c r="F106" s="231"/>
      <c r="G106" s="231"/>
      <c r="H106" s="231">
        <v>0.2</v>
      </c>
      <c r="I106" s="231">
        <v>0.5</v>
      </c>
      <c r="J106" s="231">
        <v>0.3</v>
      </c>
      <c r="K106" s="232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>
      <c r="A107" s="740"/>
      <c r="B107" s="742"/>
      <c r="C107" s="742"/>
      <c r="D107" s="748"/>
      <c r="E107" s="234"/>
      <c r="F107" s="234"/>
      <c r="G107" s="234"/>
      <c r="H107" s="234">
        <f t="shared" ref="H107:J107" si="44">$D106*H106</f>
        <v>0</v>
      </c>
      <c r="I107" s="234">
        <f t="shared" si="44"/>
        <v>0</v>
      </c>
      <c r="J107" s="234">
        <f t="shared" si="44"/>
        <v>0</v>
      </c>
      <c r="K107" s="232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>
      <c r="A108" s="739">
        <v>50</v>
      </c>
      <c r="B108" s="741" t="str">
        <f>VLOOKUP(A108,Resumo!$A$10:$F$77,2,FALSE)</f>
        <v>SANITÁRIO MASCULINO TÉRREO BLOCO A</v>
      </c>
      <c r="C108" s="743" t="e">
        <f>Resumo!D62</f>
        <v>#DIV/0!</v>
      </c>
      <c r="D108" s="747">
        <f>Resumo!F62</f>
        <v>0</v>
      </c>
      <c r="E108" s="231"/>
      <c r="F108" s="231"/>
      <c r="G108" s="231"/>
      <c r="H108" s="231">
        <v>0.2</v>
      </c>
      <c r="I108" s="231">
        <v>0.5</v>
      </c>
      <c r="J108" s="231">
        <v>0.3</v>
      </c>
      <c r="K108" s="232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>
      <c r="A109" s="740"/>
      <c r="B109" s="742"/>
      <c r="C109" s="742"/>
      <c r="D109" s="748"/>
      <c r="E109" s="234"/>
      <c r="F109" s="234"/>
      <c r="G109" s="234"/>
      <c r="H109" s="234">
        <f t="shared" ref="H109:J109" si="45">$D108*H108</f>
        <v>0</v>
      </c>
      <c r="I109" s="234">
        <f t="shared" si="45"/>
        <v>0</v>
      </c>
      <c r="J109" s="234">
        <f t="shared" si="45"/>
        <v>0</v>
      </c>
      <c r="K109" s="23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>
      <c r="A110" s="739">
        <v>51</v>
      </c>
      <c r="B110" s="741" t="str">
        <f>VLOOKUP(A110,Resumo!$A$10:$F$77,2,FALSE)</f>
        <v>SANITÁRIO FEMININO TÉRREO BLOCO B</v>
      </c>
      <c r="C110" s="743" t="e">
        <f>Resumo!D63</f>
        <v>#DIV/0!</v>
      </c>
      <c r="D110" s="747">
        <f>Resumo!F63</f>
        <v>0</v>
      </c>
      <c r="E110" s="231"/>
      <c r="F110" s="231"/>
      <c r="G110" s="231"/>
      <c r="H110" s="231">
        <v>0.2</v>
      </c>
      <c r="I110" s="231">
        <v>0.5</v>
      </c>
      <c r="J110" s="231">
        <v>0.3</v>
      </c>
      <c r="K110" s="232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>
      <c r="A111" s="740"/>
      <c r="B111" s="742"/>
      <c r="C111" s="742"/>
      <c r="D111" s="748"/>
      <c r="E111" s="234"/>
      <c r="F111" s="234"/>
      <c r="G111" s="234"/>
      <c r="H111" s="234">
        <f t="shared" ref="H111:J111" si="46">$D110*H110</f>
        <v>0</v>
      </c>
      <c r="I111" s="234">
        <f t="shared" si="46"/>
        <v>0</v>
      </c>
      <c r="J111" s="234">
        <f t="shared" si="46"/>
        <v>0</v>
      </c>
      <c r="K111" s="232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>
      <c r="A112" s="739">
        <v>52</v>
      </c>
      <c r="B112" s="741" t="str">
        <f>VLOOKUP(A112,Resumo!$A$10:$F$77,2,FALSE)</f>
        <v>SANITÁRIO MASCULINO TÉRREO BLOCO B</v>
      </c>
      <c r="C112" s="743" t="e">
        <f>Resumo!D64</f>
        <v>#DIV/0!</v>
      </c>
      <c r="D112" s="747">
        <f>Resumo!F64</f>
        <v>0</v>
      </c>
      <c r="E112" s="231"/>
      <c r="F112" s="231"/>
      <c r="G112" s="231"/>
      <c r="H112" s="231">
        <v>0.2</v>
      </c>
      <c r="I112" s="231">
        <v>0.5</v>
      </c>
      <c r="J112" s="231">
        <v>0.3</v>
      </c>
      <c r="K112" s="23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>
      <c r="A113" s="740"/>
      <c r="B113" s="742"/>
      <c r="C113" s="742"/>
      <c r="D113" s="748"/>
      <c r="E113" s="234"/>
      <c r="F113" s="234"/>
      <c r="G113" s="234"/>
      <c r="H113" s="234">
        <f t="shared" ref="H113:J113" si="47">$D112*H112</f>
        <v>0</v>
      </c>
      <c r="I113" s="234">
        <f t="shared" si="47"/>
        <v>0</v>
      </c>
      <c r="J113" s="234">
        <f t="shared" si="47"/>
        <v>0</v>
      </c>
      <c r="K113" s="23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>
      <c r="A114" s="739">
        <v>53</v>
      </c>
      <c r="B114" s="741" t="str">
        <f>VLOOKUP(A114,Resumo!$A$10:$F$77,2,FALSE)</f>
        <v>SANITÁRIO FEMININO SUPERIOR BLOCO A</v>
      </c>
      <c r="C114" s="743" t="e">
        <f>Resumo!D65</f>
        <v>#DIV/0!</v>
      </c>
      <c r="D114" s="747">
        <f>Resumo!F65</f>
        <v>0</v>
      </c>
      <c r="E114" s="231"/>
      <c r="F114" s="231"/>
      <c r="G114" s="231"/>
      <c r="H114" s="231">
        <v>0.2</v>
      </c>
      <c r="I114" s="231">
        <v>0.5</v>
      </c>
      <c r="J114" s="231">
        <v>0.3</v>
      </c>
      <c r="K114" s="23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>
      <c r="A115" s="740"/>
      <c r="B115" s="742"/>
      <c r="C115" s="742"/>
      <c r="D115" s="748"/>
      <c r="E115" s="234"/>
      <c r="F115" s="234"/>
      <c r="G115" s="234"/>
      <c r="H115" s="234">
        <f t="shared" ref="H115:J115" si="48">$D114*H114</f>
        <v>0</v>
      </c>
      <c r="I115" s="234">
        <f t="shared" si="48"/>
        <v>0</v>
      </c>
      <c r="J115" s="234">
        <f t="shared" si="48"/>
        <v>0</v>
      </c>
      <c r="K115" s="232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>
      <c r="A116" s="739">
        <v>54</v>
      </c>
      <c r="B116" s="741" t="str">
        <f>VLOOKUP(A116,Resumo!$A$10:$F$77,2,FALSE)</f>
        <v>SANITÁRIO MASCULINO SUPERIOR BLOCO A</v>
      </c>
      <c r="C116" s="743" t="e">
        <f>Resumo!D66</f>
        <v>#DIV/0!</v>
      </c>
      <c r="D116" s="747">
        <f>Resumo!F66</f>
        <v>0</v>
      </c>
      <c r="E116" s="231"/>
      <c r="F116" s="231"/>
      <c r="G116" s="231"/>
      <c r="H116" s="231">
        <v>0.2</v>
      </c>
      <c r="I116" s="231">
        <v>0.5</v>
      </c>
      <c r="J116" s="231">
        <v>0.3</v>
      </c>
      <c r="K116" s="23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>
      <c r="A117" s="740"/>
      <c r="B117" s="742"/>
      <c r="C117" s="742"/>
      <c r="D117" s="748"/>
      <c r="E117" s="234"/>
      <c r="F117" s="234"/>
      <c r="G117" s="234"/>
      <c r="H117" s="234">
        <f t="shared" ref="H117:J117" si="49">$D116*H116</f>
        <v>0</v>
      </c>
      <c r="I117" s="234">
        <f t="shared" si="49"/>
        <v>0</v>
      </c>
      <c r="J117" s="234">
        <f t="shared" si="49"/>
        <v>0</v>
      </c>
      <c r="K117" s="232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>
      <c r="A118" s="739">
        <v>55</v>
      </c>
      <c r="B118" s="741" t="str">
        <f>VLOOKUP(A118,Resumo!$A$10:$F$77,2,FALSE)</f>
        <v>SANITÁRIO FEMININO SUPERIOR BLOCO B</v>
      </c>
      <c r="C118" s="743" t="e">
        <f>Resumo!D67</f>
        <v>#DIV/0!</v>
      </c>
      <c r="D118" s="747">
        <f>Resumo!F67</f>
        <v>0</v>
      </c>
      <c r="E118" s="231"/>
      <c r="F118" s="231"/>
      <c r="G118" s="231"/>
      <c r="H118" s="231">
        <v>0.2</v>
      </c>
      <c r="I118" s="231">
        <v>0.5</v>
      </c>
      <c r="J118" s="231">
        <v>0.3</v>
      </c>
      <c r="K118" s="232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>
      <c r="A119" s="740"/>
      <c r="B119" s="742"/>
      <c r="C119" s="742"/>
      <c r="D119" s="748"/>
      <c r="E119" s="234"/>
      <c r="F119" s="234"/>
      <c r="G119" s="234"/>
      <c r="H119" s="234">
        <f t="shared" ref="H119:J119" si="50">$D118*H118</f>
        <v>0</v>
      </c>
      <c r="I119" s="234">
        <f t="shared" si="50"/>
        <v>0</v>
      </c>
      <c r="J119" s="234">
        <f t="shared" si="50"/>
        <v>0</v>
      </c>
      <c r="K119" s="23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>
      <c r="A120" s="739">
        <v>56</v>
      </c>
      <c r="B120" s="741" t="str">
        <f>VLOOKUP(A120,Resumo!$A$10:$F$77,2,FALSE)</f>
        <v>SANITÁRIO MASCULINO SUPERIOR BLOCO B</v>
      </c>
      <c r="C120" s="743" t="e">
        <f>Resumo!D68</f>
        <v>#DIV/0!</v>
      </c>
      <c r="D120" s="747">
        <f>Resumo!F68</f>
        <v>0</v>
      </c>
      <c r="E120" s="231"/>
      <c r="F120" s="231"/>
      <c r="G120" s="231"/>
      <c r="H120" s="231">
        <v>0.2</v>
      </c>
      <c r="I120" s="231">
        <v>0.5</v>
      </c>
      <c r="J120" s="231">
        <v>0.3</v>
      </c>
      <c r="K120" s="232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>
      <c r="A121" s="740"/>
      <c r="B121" s="742"/>
      <c r="C121" s="742"/>
      <c r="D121" s="748"/>
      <c r="E121" s="234"/>
      <c r="F121" s="234"/>
      <c r="G121" s="234"/>
      <c r="H121" s="234">
        <f t="shared" ref="H121:J121" si="51">$D120*H120</f>
        <v>0</v>
      </c>
      <c r="I121" s="234">
        <f t="shared" si="51"/>
        <v>0</v>
      </c>
      <c r="J121" s="234">
        <f t="shared" si="51"/>
        <v>0</v>
      </c>
      <c r="K121" s="232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>
      <c r="A122" s="739">
        <v>57</v>
      </c>
      <c r="B122" s="741" t="str">
        <f>VLOOKUP(A122,Resumo!$A$10:$F$77,2,FALSE)</f>
        <v>ADEQUAÇÕES TÉRREO BLOCO A</v>
      </c>
      <c r="C122" s="743" t="e">
        <f>Resumo!D69</f>
        <v>#DIV/0!</v>
      </c>
      <c r="D122" s="747">
        <f>Resumo!F69</f>
        <v>0</v>
      </c>
      <c r="E122" s="231"/>
      <c r="F122" s="231"/>
      <c r="G122" s="231"/>
      <c r="H122" s="231">
        <v>0.2</v>
      </c>
      <c r="I122" s="231">
        <v>0.5</v>
      </c>
      <c r="J122" s="231">
        <v>0.3</v>
      </c>
      <c r="K122" s="23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>
      <c r="A123" s="740"/>
      <c r="B123" s="742"/>
      <c r="C123" s="742"/>
      <c r="D123" s="748"/>
      <c r="E123" s="234"/>
      <c r="F123" s="234"/>
      <c r="G123" s="234"/>
      <c r="H123" s="234">
        <f t="shared" ref="H123:J123" si="52">$D122*H122</f>
        <v>0</v>
      </c>
      <c r="I123" s="234">
        <f t="shared" si="52"/>
        <v>0</v>
      </c>
      <c r="J123" s="234">
        <f t="shared" si="52"/>
        <v>0</v>
      </c>
      <c r="K123" s="23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>
      <c r="A124" s="739">
        <v>58</v>
      </c>
      <c r="B124" s="741" t="str">
        <f>VLOOKUP(A124,Resumo!$A$10:$F$77,2,FALSE)</f>
        <v>ADEQUAÇÕES TÉRREO BLOCO B</v>
      </c>
      <c r="C124" s="743" t="e">
        <f>Resumo!D70</f>
        <v>#DIV/0!</v>
      </c>
      <c r="D124" s="747">
        <f>Resumo!F70</f>
        <v>0</v>
      </c>
      <c r="E124" s="231"/>
      <c r="F124" s="231"/>
      <c r="G124" s="231"/>
      <c r="H124" s="231">
        <v>0.2</v>
      </c>
      <c r="I124" s="231">
        <v>0.5</v>
      </c>
      <c r="J124" s="231">
        <v>0.3</v>
      </c>
      <c r="K124" s="23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>
      <c r="A125" s="740"/>
      <c r="B125" s="742"/>
      <c r="C125" s="742"/>
      <c r="D125" s="748"/>
      <c r="E125" s="234"/>
      <c r="F125" s="234"/>
      <c r="G125" s="234"/>
      <c r="H125" s="234">
        <f t="shared" ref="H125:J125" si="53">$D124*H124</f>
        <v>0</v>
      </c>
      <c r="I125" s="234">
        <f t="shared" si="53"/>
        <v>0</v>
      </c>
      <c r="J125" s="234">
        <f t="shared" si="53"/>
        <v>0</v>
      </c>
      <c r="K125" s="232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>
      <c r="A126" s="739">
        <v>59</v>
      </c>
      <c r="B126" s="741" t="str">
        <f>VLOOKUP(A126,Resumo!$A$10:$F$77,2,FALSE)</f>
        <v>ADEQUAÇÕES SUPERIOR BLOCO A</v>
      </c>
      <c r="C126" s="743" t="e">
        <f>Resumo!D71</f>
        <v>#DIV/0!</v>
      </c>
      <c r="D126" s="747">
        <f>Resumo!F71</f>
        <v>0</v>
      </c>
      <c r="E126" s="231"/>
      <c r="F126" s="231"/>
      <c r="G126" s="231"/>
      <c r="H126" s="231">
        <v>0.2</v>
      </c>
      <c r="I126" s="231">
        <v>0.5</v>
      </c>
      <c r="J126" s="231">
        <v>0.3</v>
      </c>
      <c r="K126" s="232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>
      <c r="A127" s="740"/>
      <c r="B127" s="742"/>
      <c r="C127" s="742"/>
      <c r="D127" s="748"/>
      <c r="E127" s="234"/>
      <c r="F127" s="234"/>
      <c r="G127" s="234"/>
      <c r="H127" s="234">
        <f t="shared" ref="H127:J127" si="54">$D126*H126</f>
        <v>0</v>
      </c>
      <c r="I127" s="234">
        <f t="shared" si="54"/>
        <v>0</v>
      </c>
      <c r="J127" s="234">
        <f t="shared" si="54"/>
        <v>0</v>
      </c>
      <c r="K127" s="232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>
      <c r="A128" s="739">
        <v>60</v>
      </c>
      <c r="B128" s="741" t="str">
        <f>VLOOKUP(A128,Resumo!$A$10:$F$77,2,FALSE)</f>
        <v>ADEQUAÇÕES SUPERIOR BLOCO B</v>
      </c>
      <c r="C128" s="743" t="e">
        <f>Resumo!D72</f>
        <v>#DIV/0!</v>
      </c>
      <c r="D128" s="747">
        <f>Resumo!F72</f>
        <v>0</v>
      </c>
      <c r="E128" s="231"/>
      <c r="F128" s="231"/>
      <c r="G128" s="231"/>
      <c r="H128" s="231">
        <v>0.2</v>
      </c>
      <c r="I128" s="231">
        <v>0.5</v>
      </c>
      <c r="J128" s="231">
        <v>0.3</v>
      </c>
      <c r="K128" s="232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>
      <c r="A129" s="740"/>
      <c r="B129" s="742"/>
      <c r="C129" s="742"/>
      <c r="D129" s="748"/>
      <c r="E129" s="234"/>
      <c r="F129" s="234"/>
      <c r="G129" s="234"/>
      <c r="H129" s="234">
        <f t="shared" ref="H129:J129" si="55">$D128*H128</f>
        <v>0</v>
      </c>
      <c r="I129" s="234">
        <f t="shared" si="55"/>
        <v>0</v>
      </c>
      <c r="J129" s="234">
        <f t="shared" si="55"/>
        <v>0</v>
      </c>
      <c r="K129" s="232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>
      <c r="A130" s="739">
        <v>61</v>
      </c>
      <c r="B130" s="741" t="str">
        <f>VLOOKUP(A130,Resumo!$A$10:$F$77,2,FALSE)</f>
        <v>ADEQUAÇÕES RAMPA CENTRAL</v>
      </c>
      <c r="C130" s="743" t="e">
        <f>Resumo!D73</f>
        <v>#DIV/0!</v>
      </c>
      <c r="D130" s="747">
        <f>Resumo!F73</f>
        <v>0</v>
      </c>
      <c r="E130" s="231"/>
      <c r="F130" s="231"/>
      <c r="G130" s="231"/>
      <c r="H130" s="231">
        <v>0.2</v>
      </c>
      <c r="I130" s="231">
        <v>0.5</v>
      </c>
      <c r="J130" s="231">
        <v>0.3</v>
      </c>
      <c r="K130" s="232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316"/>
      <c r="Z130" s="316"/>
    </row>
    <row r="131" spans="1:26" ht="15" customHeight="1">
      <c r="A131" s="740"/>
      <c r="B131" s="742"/>
      <c r="C131" s="742"/>
      <c r="D131" s="748"/>
      <c r="E131" s="234"/>
      <c r="F131" s="234"/>
      <c r="G131" s="234"/>
      <c r="H131" s="234">
        <f t="shared" ref="H131:J131" si="56">$D130*H130</f>
        <v>0</v>
      </c>
      <c r="I131" s="234">
        <f t="shared" si="56"/>
        <v>0</v>
      </c>
      <c r="J131" s="234">
        <f t="shared" si="56"/>
        <v>0</v>
      </c>
      <c r="K131" s="232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316"/>
      <c r="Z131" s="316"/>
    </row>
    <row r="132" spans="1:26" ht="22.5" customHeight="1">
      <c r="A132" s="757" t="s">
        <v>337</v>
      </c>
      <c r="B132" s="758"/>
      <c r="C132" s="318" t="e">
        <f>SUM(C9:C131)</f>
        <v>#DIV/0!</v>
      </c>
      <c r="D132" s="320">
        <f>D130+D128+D126+D124+D122+D120+D118+D116+D114+D112+D110+D108+D106+D104+D102+D100+D98+D96+D94+D91+D89+D87+D85+D83+D81+D79+D77+D75+D73+D71+D69+D67+D65+D63+D61+D56+D54+D52+D50+D48+D46+D43+D41+D39+D37+D35+D33+D31+D28+D26+D24+D22+D20+D18+D16+D14+D11+D9+D58</f>
        <v>0</v>
      </c>
      <c r="E132" s="322">
        <f t="shared" ref="E132:J132" si="57">E12+E15+E17+E19+E21+E23+E25+E27+E29+E32+E34+E36+E38+E40+E42+E44+E47+E49+E51+E53+E55+E57+E59+E62+E64+E66+E68+E70+E72+E74+E76+E78+E80+E82+E84+E86+E88+E90+E92+E95+E97+E99+E101+E103+E105+E107+E109+E111+E113+E115+E117+E119+E121+E123+E125+E127+E129+E131</f>
        <v>0</v>
      </c>
      <c r="F132" s="322">
        <f t="shared" si="57"/>
        <v>0</v>
      </c>
      <c r="G132" s="322">
        <f t="shared" si="57"/>
        <v>0</v>
      </c>
      <c r="H132" s="322">
        <f t="shared" si="57"/>
        <v>0</v>
      </c>
      <c r="I132" s="322">
        <f t="shared" si="57"/>
        <v>0</v>
      </c>
      <c r="J132" s="322">
        <f t="shared" si="57"/>
        <v>0</v>
      </c>
      <c r="K132" s="323"/>
      <c r="L132" s="323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</row>
    <row r="133" spans="1:26" ht="22.5" customHeight="1">
      <c r="A133" s="759" t="s">
        <v>342</v>
      </c>
      <c r="B133" s="760"/>
      <c r="C133" s="327"/>
      <c r="D133" s="328"/>
      <c r="E133" s="329">
        <f t="shared" ref="E133:J133" si="58">E132+E10</f>
        <v>0</v>
      </c>
      <c r="F133" s="329">
        <f t="shared" si="58"/>
        <v>0</v>
      </c>
      <c r="G133" s="329">
        <f t="shared" si="58"/>
        <v>0</v>
      </c>
      <c r="H133" s="329">
        <f t="shared" si="58"/>
        <v>0</v>
      </c>
      <c r="I133" s="329">
        <f t="shared" si="58"/>
        <v>0</v>
      </c>
      <c r="J133" s="329">
        <f t="shared" si="58"/>
        <v>0</v>
      </c>
      <c r="K133" s="330"/>
      <c r="L133" s="323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</row>
    <row r="134" spans="1:26" ht="15" customHeight="1">
      <c r="A134" s="761" t="s">
        <v>343</v>
      </c>
      <c r="B134" s="760"/>
      <c r="C134" s="327"/>
      <c r="D134" s="331"/>
      <c r="E134" s="332">
        <v>4.6906904175657835E-2</v>
      </c>
      <c r="F134" s="332">
        <v>0.21271702893815259</v>
      </c>
      <c r="G134" s="332">
        <v>0.20578698919542016</v>
      </c>
      <c r="H134" s="332">
        <v>0.27054382319580178</v>
      </c>
      <c r="I134" s="332">
        <v>0.16400000000000001</v>
      </c>
      <c r="J134" s="332">
        <v>0.1</v>
      </c>
      <c r="K134" s="323"/>
      <c r="L134" s="323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</row>
    <row r="135" spans="1:26" ht="15" customHeight="1">
      <c r="A135" s="762" t="s">
        <v>346</v>
      </c>
      <c r="B135" s="763"/>
      <c r="C135" s="334"/>
      <c r="D135" s="335"/>
      <c r="E135" s="336">
        <v>4.6906904175657835E-2</v>
      </c>
      <c r="F135" s="336">
        <v>0.25962393311381043</v>
      </c>
      <c r="G135" s="336">
        <v>0.46541092230923059</v>
      </c>
      <c r="H135" s="336">
        <v>0.73595474550503237</v>
      </c>
      <c r="I135" s="336">
        <v>0.9</v>
      </c>
      <c r="J135" s="336">
        <v>0.99999999999999967</v>
      </c>
      <c r="K135" s="323"/>
      <c r="L135" s="323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</row>
    <row r="136" spans="1:26" ht="11.25" customHeight="1">
      <c r="A136" s="337"/>
      <c r="B136" s="204"/>
      <c r="C136" s="206"/>
      <c r="D136" s="207"/>
      <c r="E136" s="208"/>
      <c r="F136" s="208"/>
      <c r="G136" s="208"/>
      <c r="H136" s="208"/>
      <c r="I136" s="208"/>
      <c r="J136" s="208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338"/>
      <c r="Z136" s="338"/>
    </row>
    <row r="137" spans="1:26" ht="11.25" customHeight="1">
      <c r="A137" s="337"/>
      <c r="B137" s="204"/>
      <c r="C137" s="206"/>
      <c r="D137" s="207"/>
      <c r="E137" s="208"/>
      <c r="F137" s="208"/>
      <c r="G137" s="208"/>
      <c r="H137" s="208"/>
      <c r="I137" s="208"/>
      <c r="J137" s="208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338"/>
      <c r="Z137" s="338"/>
    </row>
    <row r="138" spans="1:26" ht="11.25" customHeight="1">
      <c r="A138" s="337"/>
      <c r="B138" s="204"/>
      <c r="C138" s="206"/>
      <c r="D138" s="207"/>
      <c r="E138" s="208"/>
      <c r="F138" s="208"/>
      <c r="G138" s="208"/>
      <c r="H138" s="208"/>
      <c r="I138" s="208"/>
      <c r="J138" s="208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338"/>
      <c r="Z138" s="338"/>
    </row>
    <row r="139" spans="1:26" ht="12" customHeight="1">
      <c r="A139" s="337"/>
      <c r="B139" s="764" t="s">
        <v>352</v>
      </c>
      <c r="C139" s="669"/>
      <c r="D139" s="669"/>
      <c r="E139" s="208"/>
      <c r="F139" s="208"/>
      <c r="G139" s="208"/>
      <c r="H139" s="208"/>
      <c r="I139" s="208"/>
      <c r="J139" s="208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338"/>
      <c r="Z139" s="338"/>
    </row>
    <row r="140" spans="1:26" ht="12.75" customHeight="1">
      <c r="A140" s="337"/>
      <c r="B140" s="340"/>
      <c r="C140" s="206"/>
      <c r="D140" s="207"/>
      <c r="E140" s="208"/>
      <c r="F140" s="208"/>
      <c r="G140" s="208"/>
      <c r="H140" s="208"/>
      <c r="I140" s="208"/>
      <c r="J140" s="208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spans="1:26" ht="12.75" customHeight="1">
      <c r="A141" s="337"/>
      <c r="B141" s="340"/>
      <c r="C141" s="206"/>
      <c r="D141" s="207"/>
      <c r="E141" s="208"/>
      <c r="F141" s="208"/>
      <c r="G141" s="208"/>
      <c r="H141" s="208"/>
      <c r="I141" s="208"/>
      <c r="J141" s="208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spans="1:26" ht="12.75" customHeight="1">
      <c r="A142" s="337"/>
      <c r="B142" s="340"/>
      <c r="C142" s="206"/>
      <c r="D142" s="207"/>
      <c r="E142" s="208"/>
      <c r="F142" s="208"/>
      <c r="G142" s="208"/>
      <c r="H142" s="208"/>
      <c r="I142" s="208"/>
      <c r="J142" s="208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spans="1:26" ht="11.25" customHeight="1">
      <c r="A143" s="337"/>
      <c r="B143" s="204"/>
      <c r="C143" s="206"/>
      <c r="D143" s="207"/>
      <c r="E143" s="208"/>
      <c r="F143" s="208"/>
      <c r="G143" s="208"/>
      <c r="H143" s="208"/>
      <c r="I143" s="208"/>
      <c r="J143" s="208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ht="11.25" customHeight="1">
      <c r="A144" s="337"/>
      <c r="B144" s="204"/>
      <c r="C144" s="206"/>
      <c r="D144" s="207"/>
      <c r="E144" s="208"/>
      <c r="F144" s="208"/>
      <c r="G144" s="208"/>
      <c r="H144" s="208"/>
      <c r="I144" s="208"/>
      <c r="J144" s="208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spans="1:26" ht="11.25" customHeight="1">
      <c r="A145" s="337"/>
      <c r="B145" s="204"/>
      <c r="C145" s="206"/>
      <c r="D145" s="207"/>
      <c r="E145" s="208"/>
      <c r="F145" s="208"/>
      <c r="G145" s="208"/>
      <c r="H145" s="208"/>
      <c r="I145" s="208"/>
      <c r="J145" s="208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spans="1:26" ht="11.25" customHeight="1">
      <c r="A146" s="337"/>
      <c r="B146" s="204"/>
      <c r="C146" s="206"/>
      <c r="D146" s="207"/>
      <c r="E146" s="208"/>
      <c r="F146" s="208"/>
      <c r="G146" s="208"/>
      <c r="H146" s="208"/>
      <c r="I146" s="208"/>
      <c r="J146" s="208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6" ht="11.25" customHeight="1">
      <c r="A147" s="337"/>
      <c r="B147" s="204"/>
      <c r="C147" s="206"/>
      <c r="D147" s="207"/>
      <c r="E147" s="208"/>
      <c r="F147" s="208"/>
      <c r="G147" s="208"/>
      <c r="H147" s="208"/>
      <c r="I147" s="208"/>
      <c r="J147" s="208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6" ht="11.25" customHeight="1">
      <c r="A148" s="337"/>
      <c r="B148" s="204"/>
      <c r="C148" s="206"/>
      <c r="D148" s="207"/>
      <c r="E148" s="208"/>
      <c r="F148" s="208"/>
      <c r="G148" s="208"/>
      <c r="H148" s="208"/>
      <c r="I148" s="208"/>
      <c r="J148" s="208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6" ht="11.25" customHeight="1">
      <c r="A149" s="337"/>
      <c r="B149" s="204"/>
      <c r="C149" s="206"/>
      <c r="D149" s="207"/>
      <c r="E149" s="208"/>
      <c r="F149" s="208"/>
      <c r="G149" s="208"/>
      <c r="H149" s="208"/>
      <c r="I149" s="208"/>
      <c r="J149" s="208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6" ht="11.25" customHeight="1">
      <c r="A150" s="337"/>
      <c r="B150" s="204"/>
      <c r="C150" s="206"/>
      <c r="D150" s="207"/>
      <c r="E150" s="208"/>
      <c r="F150" s="208"/>
      <c r="G150" s="208"/>
      <c r="H150" s="208"/>
      <c r="I150" s="208"/>
      <c r="J150" s="208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ht="11.25" customHeight="1">
      <c r="A151" s="337"/>
      <c r="B151" s="204"/>
      <c r="C151" s="206"/>
      <c r="D151" s="207"/>
      <c r="E151" s="208"/>
      <c r="F151" s="208"/>
      <c r="G151" s="208"/>
      <c r="H151" s="208"/>
      <c r="I151" s="208"/>
      <c r="J151" s="208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spans="1:26" ht="11.25" customHeight="1">
      <c r="A152" s="337"/>
      <c r="B152" s="204"/>
      <c r="C152" s="206"/>
      <c r="D152" s="207"/>
      <c r="E152" s="208"/>
      <c r="F152" s="208"/>
      <c r="G152" s="208"/>
      <c r="H152" s="208"/>
      <c r="I152" s="208"/>
      <c r="J152" s="208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spans="1:26" ht="11.25" customHeight="1">
      <c r="A153" s="337"/>
      <c r="B153" s="204"/>
      <c r="C153" s="206"/>
      <c r="D153" s="207"/>
      <c r="E153" s="208"/>
      <c r="F153" s="208"/>
      <c r="G153" s="208"/>
      <c r="H153" s="208"/>
      <c r="I153" s="208"/>
      <c r="J153" s="208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spans="1:26" ht="11.25" customHeight="1">
      <c r="A154" s="337"/>
      <c r="B154" s="204"/>
      <c r="C154" s="206"/>
      <c r="D154" s="207"/>
      <c r="E154" s="208"/>
      <c r="F154" s="208"/>
      <c r="G154" s="208"/>
      <c r="H154" s="208"/>
      <c r="I154" s="208"/>
      <c r="J154" s="208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spans="1:26" ht="11.25" customHeight="1">
      <c r="A155" s="337"/>
      <c r="B155" s="204"/>
      <c r="C155" s="206"/>
      <c r="D155" s="207"/>
      <c r="E155" s="208"/>
      <c r="F155" s="208"/>
      <c r="G155" s="208"/>
      <c r="H155" s="208"/>
      <c r="I155" s="208"/>
      <c r="J155" s="208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spans="1:26" ht="11.25" customHeight="1">
      <c r="A156" s="337"/>
      <c r="B156" s="204"/>
      <c r="C156" s="206"/>
      <c r="D156" s="207"/>
      <c r="E156" s="208"/>
      <c r="F156" s="208"/>
      <c r="G156" s="208"/>
      <c r="H156" s="208"/>
      <c r="I156" s="208"/>
      <c r="J156" s="208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spans="1:26" ht="11.25" customHeight="1">
      <c r="A157" s="337"/>
      <c r="B157" s="204"/>
      <c r="C157" s="206"/>
      <c r="D157" s="207"/>
      <c r="E157" s="208"/>
      <c r="F157" s="208"/>
      <c r="G157" s="208"/>
      <c r="H157" s="208"/>
      <c r="I157" s="208"/>
      <c r="J157" s="208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spans="1:26" ht="11.25" customHeight="1">
      <c r="A158" s="337"/>
      <c r="B158" s="204"/>
      <c r="C158" s="206"/>
      <c r="D158" s="207"/>
      <c r="E158" s="208"/>
      <c r="F158" s="208"/>
      <c r="G158" s="208"/>
      <c r="H158" s="208"/>
      <c r="I158" s="208"/>
      <c r="J158" s="208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spans="1:26" ht="11.25" customHeight="1">
      <c r="A159" s="337"/>
      <c r="B159" s="204"/>
      <c r="C159" s="206"/>
      <c r="D159" s="207"/>
      <c r="E159" s="208"/>
      <c r="F159" s="208"/>
      <c r="G159" s="208"/>
      <c r="H159" s="208"/>
      <c r="I159" s="208"/>
      <c r="J159" s="208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spans="1:26" ht="11.25" customHeight="1">
      <c r="A160" s="337"/>
      <c r="B160" s="204"/>
      <c r="C160" s="206"/>
      <c r="D160" s="207"/>
      <c r="E160" s="208"/>
      <c r="F160" s="208"/>
      <c r="G160" s="208"/>
      <c r="H160" s="208"/>
      <c r="I160" s="208"/>
      <c r="J160" s="208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spans="1:26" ht="11.25" customHeight="1">
      <c r="A161" s="337"/>
      <c r="B161" s="204"/>
      <c r="C161" s="206"/>
      <c r="D161" s="207"/>
      <c r="E161" s="208"/>
      <c r="F161" s="208"/>
      <c r="G161" s="208"/>
      <c r="H161" s="208"/>
      <c r="I161" s="208"/>
      <c r="J161" s="208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spans="1:26" ht="11.25" customHeight="1">
      <c r="A162" s="337"/>
      <c r="B162" s="204"/>
      <c r="C162" s="206"/>
      <c r="D162" s="207"/>
      <c r="E162" s="208"/>
      <c r="F162" s="208"/>
      <c r="G162" s="208"/>
      <c r="H162" s="208"/>
      <c r="I162" s="208"/>
      <c r="J162" s="208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spans="1:26" ht="11.25" customHeight="1">
      <c r="A163" s="337"/>
      <c r="B163" s="204"/>
      <c r="C163" s="206"/>
      <c r="D163" s="207"/>
      <c r="E163" s="208"/>
      <c r="F163" s="208"/>
      <c r="G163" s="208"/>
      <c r="H163" s="208"/>
      <c r="I163" s="208"/>
      <c r="J163" s="208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spans="1:26" ht="11.25" customHeight="1">
      <c r="A164" s="337"/>
      <c r="B164" s="204"/>
      <c r="C164" s="206"/>
      <c r="D164" s="207"/>
      <c r="E164" s="208"/>
      <c r="F164" s="208"/>
      <c r="G164" s="208"/>
      <c r="H164" s="208"/>
      <c r="I164" s="208"/>
      <c r="J164" s="208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spans="1:26" ht="11.25" customHeight="1">
      <c r="A165" s="337"/>
      <c r="B165" s="204"/>
      <c r="C165" s="206"/>
      <c r="D165" s="207"/>
      <c r="E165" s="208"/>
      <c r="F165" s="208"/>
      <c r="G165" s="208"/>
      <c r="H165" s="208"/>
      <c r="I165" s="208"/>
      <c r="J165" s="208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 ht="11.25" customHeight="1">
      <c r="A166" s="337"/>
      <c r="B166" s="204"/>
      <c r="C166" s="206"/>
      <c r="D166" s="207"/>
      <c r="E166" s="208"/>
      <c r="F166" s="208"/>
      <c r="G166" s="208"/>
      <c r="H166" s="208"/>
      <c r="I166" s="208"/>
      <c r="J166" s="208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spans="1:26" ht="11.25" customHeight="1">
      <c r="A167" s="337"/>
      <c r="B167" s="204"/>
      <c r="C167" s="206"/>
      <c r="D167" s="207"/>
      <c r="E167" s="208"/>
      <c r="F167" s="208"/>
      <c r="G167" s="208"/>
      <c r="H167" s="208"/>
      <c r="I167" s="208"/>
      <c r="J167" s="208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spans="1:26" ht="11.25" customHeight="1">
      <c r="A168" s="337"/>
      <c r="B168" s="204"/>
      <c r="C168" s="206"/>
      <c r="D168" s="207"/>
      <c r="E168" s="208"/>
      <c r="F168" s="208"/>
      <c r="G168" s="208"/>
      <c r="H168" s="208"/>
      <c r="I168" s="208"/>
      <c r="J168" s="208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spans="1:26" ht="11.25" customHeight="1">
      <c r="A169" s="337"/>
      <c r="B169" s="204"/>
      <c r="C169" s="206"/>
      <c r="D169" s="207"/>
      <c r="E169" s="208"/>
      <c r="F169" s="208"/>
      <c r="G169" s="208"/>
      <c r="H169" s="208"/>
      <c r="I169" s="208"/>
      <c r="J169" s="208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spans="1:26" ht="11.25" customHeight="1">
      <c r="A170" s="337"/>
      <c r="B170" s="204"/>
      <c r="C170" s="206"/>
      <c r="D170" s="207"/>
      <c r="E170" s="208"/>
      <c r="F170" s="208"/>
      <c r="G170" s="208"/>
      <c r="H170" s="208"/>
      <c r="I170" s="208"/>
      <c r="J170" s="208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spans="1:26" ht="11.25" customHeight="1">
      <c r="A171" s="337"/>
      <c r="B171" s="204"/>
      <c r="C171" s="206"/>
      <c r="D171" s="207"/>
      <c r="E171" s="208"/>
      <c r="F171" s="208"/>
      <c r="G171" s="208"/>
      <c r="H171" s="208"/>
      <c r="I171" s="208"/>
      <c r="J171" s="208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 ht="11.25" customHeight="1">
      <c r="A172" s="337"/>
      <c r="B172" s="204"/>
      <c r="C172" s="206"/>
      <c r="D172" s="207"/>
      <c r="E172" s="208"/>
      <c r="F172" s="208"/>
      <c r="G172" s="208"/>
      <c r="H172" s="208"/>
      <c r="I172" s="208"/>
      <c r="J172" s="208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spans="1:26" ht="11.25" customHeight="1">
      <c r="A173" s="337"/>
      <c r="B173" s="204"/>
      <c r="C173" s="206"/>
      <c r="D173" s="207"/>
      <c r="E173" s="208"/>
      <c r="F173" s="208"/>
      <c r="G173" s="208"/>
      <c r="H173" s="208"/>
      <c r="I173" s="208"/>
      <c r="J173" s="208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spans="1:26" ht="11.25" customHeight="1">
      <c r="A174" s="337"/>
      <c r="B174" s="204"/>
      <c r="C174" s="206"/>
      <c r="D174" s="207"/>
      <c r="E174" s="208"/>
      <c r="F174" s="208"/>
      <c r="G174" s="208"/>
      <c r="H174" s="208"/>
      <c r="I174" s="208"/>
      <c r="J174" s="208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spans="1:26" ht="11.25" customHeight="1">
      <c r="A175" s="337"/>
      <c r="B175" s="204"/>
      <c r="C175" s="206"/>
      <c r="D175" s="207"/>
      <c r="E175" s="208"/>
      <c r="F175" s="208"/>
      <c r="G175" s="208"/>
      <c r="H175" s="208"/>
      <c r="I175" s="208"/>
      <c r="J175" s="208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spans="1:26" ht="11.25" customHeight="1">
      <c r="A176" s="337"/>
      <c r="B176" s="204"/>
      <c r="C176" s="206"/>
      <c r="D176" s="207"/>
      <c r="E176" s="208"/>
      <c r="F176" s="208"/>
      <c r="G176" s="208"/>
      <c r="H176" s="208"/>
      <c r="I176" s="208"/>
      <c r="J176" s="208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spans="1:26" ht="11.25" customHeight="1">
      <c r="A177" s="337"/>
      <c r="B177" s="204"/>
      <c r="C177" s="206"/>
      <c r="D177" s="207"/>
      <c r="E177" s="208"/>
      <c r="F177" s="208"/>
      <c r="G177" s="208"/>
      <c r="H177" s="208"/>
      <c r="I177" s="208"/>
      <c r="J177" s="208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spans="1:26" ht="11.25" customHeight="1">
      <c r="A178" s="337"/>
      <c r="B178" s="204"/>
      <c r="C178" s="206"/>
      <c r="D178" s="207"/>
      <c r="E178" s="208"/>
      <c r="F178" s="208"/>
      <c r="G178" s="208"/>
      <c r="H178" s="208"/>
      <c r="I178" s="208"/>
      <c r="J178" s="208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spans="1:26" ht="11.25" customHeight="1">
      <c r="A179" s="337"/>
      <c r="B179" s="204"/>
      <c r="C179" s="206"/>
      <c r="D179" s="207"/>
      <c r="E179" s="208"/>
      <c r="F179" s="208"/>
      <c r="G179" s="208"/>
      <c r="H179" s="208"/>
      <c r="I179" s="208"/>
      <c r="J179" s="208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spans="1:26" ht="11.25" customHeight="1">
      <c r="A180" s="337"/>
      <c r="B180" s="204"/>
      <c r="C180" s="206"/>
      <c r="D180" s="207"/>
      <c r="E180" s="208"/>
      <c r="F180" s="208"/>
      <c r="G180" s="208"/>
      <c r="H180" s="208"/>
      <c r="I180" s="208"/>
      <c r="J180" s="208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spans="1:26" ht="11.25" customHeight="1">
      <c r="A181" s="337"/>
      <c r="B181" s="204"/>
      <c r="C181" s="206"/>
      <c r="D181" s="207"/>
      <c r="E181" s="208"/>
      <c r="F181" s="208"/>
      <c r="G181" s="208"/>
      <c r="H181" s="208"/>
      <c r="I181" s="208"/>
      <c r="J181" s="208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spans="1:26" ht="11.25" customHeight="1">
      <c r="A182" s="337"/>
      <c r="B182" s="204"/>
      <c r="C182" s="206"/>
      <c r="D182" s="207"/>
      <c r="E182" s="208"/>
      <c r="F182" s="208"/>
      <c r="G182" s="208"/>
      <c r="H182" s="208"/>
      <c r="I182" s="208"/>
      <c r="J182" s="208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spans="1:26" ht="11.25" customHeight="1">
      <c r="A183" s="337"/>
      <c r="B183" s="204"/>
      <c r="C183" s="206"/>
      <c r="D183" s="207"/>
      <c r="E183" s="208"/>
      <c r="F183" s="208"/>
      <c r="G183" s="208"/>
      <c r="H183" s="208"/>
      <c r="I183" s="208"/>
      <c r="J183" s="208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spans="1:26" ht="11.25" customHeight="1">
      <c r="A184" s="337"/>
      <c r="B184" s="204"/>
      <c r="C184" s="206"/>
      <c r="D184" s="207"/>
      <c r="E184" s="208"/>
      <c r="F184" s="208"/>
      <c r="G184" s="208"/>
      <c r="H184" s="208"/>
      <c r="I184" s="208"/>
      <c r="J184" s="208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spans="1:26" ht="11.25" customHeight="1">
      <c r="A185" s="337"/>
      <c r="B185" s="204"/>
      <c r="C185" s="206"/>
      <c r="D185" s="207"/>
      <c r="E185" s="208"/>
      <c r="F185" s="208"/>
      <c r="G185" s="208"/>
      <c r="H185" s="208"/>
      <c r="I185" s="208"/>
      <c r="J185" s="208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spans="1:26" ht="11.25" customHeight="1">
      <c r="A186" s="337"/>
      <c r="B186" s="204"/>
      <c r="C186" s="206"/>
      <c r="D186" s="207"/>
      <c r="E186" s="208"/>
      <c r="F186" s="208"/>
      <c r="G186" s="208"/>
      <c r="H186" s="208"/>
      <c r="I186" s="208"/>
      <c r="J186" s="208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spans="1:26" ht="11.25" customHeight="1">
      <c r="A187" s="337"/>
      <c r="B187" s="204"/>
      <c r="C187" s="206"/>
      <c r="D187" s="207"/>
      <c r="E187" s="208"/>
      <c r="F187" s="208"/>
      <c r="G187" s="208"/>
      <c r="H187" s="208"/>
      <c r="I187" s="208"/>
      <c r="J187" s="208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spans="1:26" ht="11.25" customHeight="1">
      <c r="A188" s="337"/>
      <c r="B188" s="204"/>
      <c r="C188" s="206"/>
      <c r="D188" s="207"/>
      <c r="E188" s="208"/>
      <c r="F188" s="208"/>
      <c r="G188" s="208"/>
      <c r="H188" s="208"/>
      <c r="I188" s="208"/>
      <c r="J188" s="208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spans="1:26" ht="11.25" customHeight="1">
      <c r="A189" s="337"/>
      <c r="B189" s="204"/>
      <c r="C189" s="206"/>
      <c r="D189" s="207"/>
      <c r="E189" s="208"/>
      <c r="F189" s="208"/>
      <c r="G189" s="208"/>
      <c r="H189" s="208"/>
      <c r="I189" s="208"/>
      <c r="J189" s="208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spans="1:26" ht="11.25" customHeight="1">
      <c r="A190" s="337"/>
      <c r="B190" s="204"/>
      <c r="C190" s="206"/>
      <c r="D190" s="207"/>
      <c r="E190" s="208"/>
      <c r="F190" s="208"/>
      <c r="G190" s="208"/>
      <c r="H190" s="208"/>
      <c r="I190" s="208"/>
      <c r="J190" s="208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 ht="11.25" customHeight="1">
      <c r="A191" s="337"/>
      <c r="B191" s="204"/>
      <c r="C191" s="206"/>
      <c r="D191" s="207"/>
      <c r="E191" s="208"/>
      <c r="F191" s="208"/>
      <c r="G191" s="208"/>
      <c r="H191" s="208"/>
      <c r="I191" s="208"/>
      <c r="J191" s="208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spans="1:26" ht="11.25" customHeight="1">
      <c r="A192" s="337"/>
      <c r="B192" s="204"/>
      <c r="C192" s="206"/>
      <c r="D192" s="207"/>
      <c r="E192" s="208"/>
      <c r="F192" s="208"/>
      <c r="G192" s="208"/>
      <c r="H192" s="208"/>
      <c r="I192" s="208"/>
      <c r="J192" s="208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spans="1:26" ht="11.25" customHeight="1">
      <c r="A193" s="337"/>
      <c r="B193" s="204"/>
      <c r="C193" s="206"/>
      <c r="D193" s="207"/>
      <c r="E193" s="208"/>
      <c r="F193" s="208"/>
      <c r="G193" s="208"/>
      <c r="H193" s="208"/>
      <c r="I193" s="208"/>
      <c r="J193" s="208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spans="1:26" ht="11.25" customHeight="1">
      <c r="A194" s="337"/>
      <c r="B194" s="204"/>
      <c r="C194" s="206"/>
      <c r="D194" s="207"/>
      <c r="E194" s="208"/>
      <c r="F194" s="208"/>
      <c r="G194" s="208"/>
      <c r="H194" s="208"/>
      <c r="I194" s="208"/>
      <c r="J194" s="208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spans="1:26" ht="11.25" customHeight="1">
      <c r="A195" s="337"/>
      <c r="B195" s="204"/>
      <c r="C195" s="206"/>
      <c r="D195" s="207"/>
      <c r="E195" s="208"/>
      <c r="F195" s="208"/>
      <c r="G195" s="208"/>
      <c r="H195" s="208"/>
      <c r="I195" s="208"/>
      <c r="J195" s="208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spans="1:26" ht="11.25" customHeight="1">
      <c r="A196" s="337"/>
      <c r="B196" s="204"/>
      <c r="C196" s="206"/>
      <c r="D196" s="207"/>
      <c r="E196" s="208"/>
      <c r="F196" s="208"/>
      <c r="G196" s="208"/>
      <c r="H196" s="208"/>
      <c r="I196" s="208"/>
      <c r="J196" s="208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spans="1:26" ht="11.25" customHeight="1">
      <c r="A197" s="337"/>
      <c r="B197" s="204"/>
      <c r="C197" s="206"/>
      <c r="D197" s="207"/>
      <c r="E197" s="208"/>
      <c r="F197" s="208"/>
      <c r="G197" s="208"/>
      <c r="H197" s="208"/>
      <c r="I197" s="208"/>
      <c r="J197" s="208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spans="1:26" ht="11.25" customHeight="1">
      <c r="A198" s="337"/>
      <c r="B198" s="204"/>
      <c r="C198" s="206"/>
      <c r="D198" s="207"/>
      <c r="E198" s="208"/>
      <c r="F198" s="208"/>
      <c r="G198" s="208"/>
      <c r="H198" s="208"/>
      <c r="I198" s="208"/>
      <c r="J198" s="208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spans="1:26" ht="11.25" customHeight="1">
      <c r="A199" s="337"/>
      <c r="B199" s="204"/>
      <c r="C199" s="206"/>
      <c r="D199" s="207"/>
      <c r="E199" s="208"/>
      <c r="F199" s="208"/>
      <c r="G199" s="208"/>
      <c r="H199" s="208"/>
      <c r="I199" s="208"/>
      <c r="J199" s="208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spans="1:26" ht="11.25" customHeight="1">
      <c r="A200" s="337"/>
      <c r="B200" s="204"/>
      <c r="C200" s="206"/>
      <c r="D200" s="207"/>
      <c r="E200" s="208"/>
      <c r="F200" s="208"/>
      <c r="G200" s="208"/>
      <c r="H200" s="208"/>
      <c r="I200" s="208"/>
      <c r="J200" s="208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spans="1:26" ht="11.25" customHeight="1">
      <c r="A201" s="337"/>
      <c r="B201" s="204"/>
      <c r="C201" s="206"/>
      <c r="D201" s="207"/>
      <c r="E201" s="208"/>
      <c r="F201" s="208"/>
      <c r="G201" s="208"/>
      <c r="H201" s="208"/>
      <c r="I201" s="208"/>
      <c r="J201" s="208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spans="1:26" ht="11.25" customHeight="1">
      <c r="A202" s="337"/>
      <c r="B202" s="204"/>
      <c r="C202" s="206"/>
      <c r="D202" s="207"/>
      <c r="E202" s="208"/>
      <c r="F202" s="208"/>
      <c r="G202" s="208"/>
      <c r="H202" s="208"/>
      <c r="I202" s="208"/>
      <c r="J202" s="208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spans="1:26" ht="11.25" customHeight="1">
      <c r="A203" s="337"/>
      <c r="B203" s="204"/>
      <c r="C203" s="206"/>
      <c r="D203" s="207"/>
      <c r="E203" s="208"/>
      <c r="F203" s="208"/>
      <c r="G203" s="208"/>
      <c r="H203" s="208"/>
      <c r="I203" s="208"/>
      <c r="J203" s="208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spans="1:26" ht="11.25" customHeight="1">
      <c r="A204" s="337"/>
      <c r="B204" s="204"/>
      <c r="C204" s="206"/>
      <c r="D204" s="207"/>
      <c r="E204" s="208"/>
      <c r="F204" s="208"/>
      <c r="G204" s="208"/>
      <c r="H204" s="208"/>
      <c r="I204" s="208"/>
      <c r="J204" s="208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spans="1:26" ht="11.25" customHeight="1">
      <c r="A205" s="337"/>
      <c r="B205" s="204"/>
      <c r="C205" s="206"/>
      <c r="D205" s="207"/>
      <c r="E205" s="208"/>
      <c r="F205" s="208"/>
      <c r="G205" s="208"/>
      <c r="H205" s="208"/>
      <c r="I205" s="208"/>
      <c r="J205" s="208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spans="1:26" ht="11.25" customHeight="1">
      <c r="A206" s="337"/>
      <c r="B206" s="204"/>
      <c r="C206" s="206"/>
      <c r="D206" s="207"/>
      <c r="E206" s="208"/>
      <c r="F206" s="208"/>
      <c r="G206" s="208"/>
      <c r="H206" s="208"/>
      <c r="I206" s="208"/>
      <c r="J206" s="208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spans="1:26" ht="11.25" customHeight="1">
      <c r="A207" s="337"/>
      <c r="B207" s="204"/>
      <c r="C207" s="206"/>
      <c r="D207" s="207"/>
      <c r="E207" s="208"/>
      <c r="F207" s="208"/>
      <c r="G207" s="208"/>
      <c r="H207" s="208"/>
      <c r="I207" s="208"/>
      <c r="J207" s="208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spans="1:26" ht="11.25" customHeight="1">
      <c r="A208" s="337"/>
      <c r="B208" s="204"/>
      <c r="C208" s="206"/>
      <c r="D208" s="207"/>
      <c r="E208" s="208"/>
      <c r="F208" s="208"/>
      <c r="G208" s="208"/>
      <c r="H208" s="208"/>
      <c r="I208" s="208"/>
      <c r="J208" s="208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spans="1:26" ht="11.25" customHeight="1">
      <c r="A209" s="337"/>
      <c r="B209" s="204"/>
      <c r="C209" s="206"/>
      <c r="D209" s="207"/>
      <c r="E209" s="208"/>
      <c r="F209" s="208"/>
      <c r="G209" s="208"/>
      <c r="H209" s="208"/>
      <c r="I209" s="208"/>
      <c r="J209" s="208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spans="1:26" ht="11.25" customHeight="1">
      <c r="A210" s="337"/>
      <c r="B210" s="204"/>
      <c r="C210" s="206"/>
      <c r="D210" s="207"/>
      <c r="E210" s="208"/>
      <c r="F210" s="208"/>
      <c r="G210" s="208"/>
      <c r="H210" s="208"/>
      <c r="I210" s="208"/>
      <c r="J210" s="208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spans="1:26" ht="11.25" customHeight="1">
      <c r="A211" s="337"/>
      <c r="B211" s="204"/>
      <c r="C211" s="206"/>
      <c r="D211" s="207"/>
      <c r="E211" s="208"/>
      <c r="F211" s="208"/>
      <c r="G211" s="208"/>
      <c r="H211" s="208"/>
      <c r="I211" s="208"/>
      <c r="J211" s="208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spans="1:26" ht="11.25" customHeight="1">
      <c r="A212" s="337"/>
      <c r="B212" s="204"/>
      <c r="C212" s="206"/>
      <c r="D212" s="207"/>
      <c r="E212" s="208"/>
      <c r="F212" s="208"/>
      <c r="G212" s="208"/>
      <c r="H212" s="208"/>
      <c r="I212" s="208"/>
      <c r="J212" s="208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spans="1:26" ht="11.25" customHeight="1">
      <c r="A213" s="337"/>
      <c r="B213" s="204"/>
      <c r="C213" s="206"/>
      <c r="D213" s="207"/>
      <c r="E213" s="208"/>
      <c r="F213" s="208"/>
      <c r="G213" s="208"/>
      <c r="H213" s="208"/>
      <c r="I213" s="208"/>
      <c r="J213" s="208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spans="1:26" ht="11.25" customHeight="1">
      <c r="A214" s="337"/>
      <c r="B214" s="204"/>
      <c r="C214" s="206"/>
      <c r="D214" s="207"/>
      <c r="E214" s="208"/>
      <c r="F214" s="208"/>
      <c r="G214" s="208"/>
      <c r="H214" s="208"/>
      <c r="I214" s="208"/>
      <c r="J214" s="208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spans="1:26" ht="11.25" customHeight="1">
      <c r="A215" s="337"/>
      <c r="B215" s="204"/>
      <c r="C215" s="206"/>
      <c r="D215" s="207"/>
      <c r="E215" s="208"/>
      <c r="F215" s="208"/>
      <c r="G215" s="208"/>
      <c r="H215" s="208"/>
      <c r="I215" s="208"/>
      <c r="J215" s="208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spans="1:26" ht="11.25" customHeight="1">
      <c r="A216" s="337"/>
      <c r="B216" s="204"/>
      <c r="C216" s="206"/>
      <c r="D216" s="207"/>
      <c r="E216" s="208"/>
      <c r="F216" s="208"/>
      <c r="G216" s="208"/>
      <c r="H216" s="208"/>
      <c r="I216" s="208"/>
      <c r="J216" s="208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spans="1:26" ht="11.25" customHeight="1">
      <c r="A217" s="337"/>
      <c r="B217" s="204"/>
      <c r="C217" s="206"/>
      <c r="D217" s="207"/>
      <c r="E217" s="208"/>
      <c r="F217" s="208"/>
      <c r="G217" s="208"/>
      <c r="H217" s="208"/>
      <c r="I217" s="208"/>
      <c r="J217" s="208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spans="1:26" ht="11.25" customHeight="1">
      <c r="A218" s="337"/>
      <c r="B218" s="204"/>
      <c r="C218" s="206"/>
      <c r="D218" s="207"/>
      <c r="E218" s="208"/>
      <c r="F218" s="208"/>
      <c r="G218" s="208"/>
      <c r="H218" s="208"/>
      <c r="I218" s="208"/>
      <c r="J218" s="208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spans="1:26" ht="11.25" customHeight="1">
      <c r="A219" s="337"/>
      <c r="B219" s="204"/>
      <c r="C219" s="206"/>
      <c r="D219" s="207"/>
      <c r="E219" s="208"/>
      <c r="F219" s="208"/>
      <c r="G219" s="208"/>
      <c r="H219" s="208"/>
      <c r="I219" s="208"/>
      <c r="J219" s="208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spans="1:26" ht="11.25" customHeight="1">
      <c r="A220" s="337"/>
      <c r="B220" s="204"/>
      <c r="C220" s="206"/>
      <c r="D220" s="207"/>
      <c r="E220" s="208"/>
      <c r="F220" s="208"/>
      <c r="G220" s="208"/>
      <c r="H220" s="208"/>
      <c r="I220" s="208"/>
      <c r="J220" s="208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spans="1:26" ht="11.25" customHeight="1">
      <c r="A221" s="337"/>
      <c r="B221" s="204"/>
      <c r="C221" s="206"/>
      <c r="D221" s="207"/>
      <c r="E221" s="208"/>
      <c r="F221" s="208"/>
      <c r="G221" s="208"/>
      <c r="H221" s="208"/>
      <c r="I221" s="208"/>
      <c r="J221" s="208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spans="1:26" ht="11.25" customHeight="1">
      <c r="A222" s="337"/>
      <c r="B222" s="204"/>
      <c r="C222" s="206"/>
      <c r="D222" s="207"/>
      <c r="E222" s="208"/>
      <c r="F222" s="208"/>
      <c r="G222" s="208"/>
      <c r="H222" s="208"/>
      <c r="I222" s="208"/>
      <c r="J222" s="208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spans="1:26" ht="11.25" customHeight="1">
      <c r="A223" s="337"/>
      <c r="B223" s="204"/>
      <c r="C223" s="206"/>
      <c r="D223" s="207"/>
      <c r="E223" s="208"/>
      <c r="F223" s="208"/>
      <c r="G223" s="208"/>
      <c r="H223" s="208"/>
      <c r="I223" s="208"/>
      <c r="J223" s="208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spans="1:26" ht="11.25" customHeight="1">
      <c r="A224" s="337"/>
      <c r="B224" s="204"/>
      <c r="C224" s="206"/>
      <c r="D224" s="207"/>
      <c r="E224" s="208"/>
      <c r="F224" s="208"/>
      <c r="G224" s="208"/>
      <c r="H224" s="208"/>
      <c r="I224" s="208"/>
      <c r="J224" s="208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spans="1:26" ht="11.25" customHeight="1">
      <c r="A225" s="337"/>
      <c r="B225" s="204"/>
      <c r="C225" s="206"/>
      <c r="D225" s="207"/>
      <c r="E225" s="208"/>
      <c r="F225" s="208"/>
      <c r="G225" s="208"/>
      <c r="H225" s="208"/>
      <c r="I225" s="208"/>
      <c r="J225" s="208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spans="1:26" ht="11.25" customHeight="1">
      <c r="A226" s="337"/>
      <c r="B226" s="204"/>
      <c r="C226" s="206"/>
      <c r="D226" s="207"/>
      <c r="E226" s="208"/>
      <c r="F226" s="208"/>
      <c r="G226" s="208"/>
      <c r="H226" s="208"/>
      <c r="I226" s="208"/>
      <c r="J226" s="208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spans="1:26" ht="11.25" customHeight="1">
      <c r="A227" s="337"/>
      <c r="B227" s="204"/>
      <c r="C227" s="206"/>
      <c r="D227" s="207"/>
      <c r="E227" s="208"/>
      <c r="F227" s="208"/>
      <c r="G227" s="208"/>
      <c r="H227" s="208"/>
      <c r="I227" s="208"/>
      <c r="J227" s="208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spans="1:26" ht="11.25" customHeight="1">
      <c r="A228" s="337"/>
      <c r="B228" s="204"/>
      <c r="C228" s="206"/>
      <c r="D228" s="207"/>
      <c r="E228" s="208"/>
      <c r="F228" s="208"/>
      <c r="G228" s="208"/>
      <c r="H228" s="208"/>
      <c r="I228" s="208"/>
      <c r="J228" s="208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spans="1:26" ht="11.25" customHeight="1">
      <c r="A229" s="337"/>
      <c r="B229" s="204"/>
      <c r="C229" s="206"/>
      <c r="D229" s="207"/>
      <c r="E229" s="208"/>
      <c r="F229" s="208"/>
      <c r="G229" s="208"/>
      <c r="H229" s="208"/>
      <c r="I229" s="208"/>
      <c r="J229" s="208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spans="1:26" ht="11.25" customHeight="1">
      <c r="A230" s="337"/>
      <c r="B230" s="204"/>
      <c r="C230" s="206"/>
      <c r="D230" s="207"/>
      <c r="E230" s="208"/>
      <c r="F230" s="208"/>
      <c r="G230" s="208"/>
      <c r="H230" s="208"/>
      <c r="I230" s="208"/>
      <c r="J230" s="208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spans="1:26" ht="11.25" customHeight="1">
      <c r="A231" s="337"/>
      <c r="B231" s="204"/>
      <c r="C231" s="206"/>
      <c r="D231" s="207"/>
      <c r="E231" s="208"/>
      <c r="F231" s="208"/>
      <c r="G231" s="208"/>
      <c r="H231" s="208"/>
      <c r="I231" s="208"/>
      <c r="J231" s="208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spans="1:26" ht="11.25" customHeight="1">
      <c r="A232" s="337"/>
      <c r="B232" s="204"/>
      <c r="C232" s="206"/>
      <c r="D232" s="207"/>
      <c r="E232" s="208"/>
      <c r="F232" s="208"/>
      <c r="G232" s="208"/>
      <c r="H232" s="208"/>
      <c r="I232" s="208"/>
      <c r="J232" s="208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spans="1:26" ht="11.25" customHeight="1">
      <c r="A233" s="337"/>
      <c r="B233" s="204"/>
      <c r="C233" s="206"/>
      <c r="D233" s="207"/>
      <c r="E233" s="208"/>
      <c r="F233" s="208"/>
      <c r="G233" s="208"/>
      <c r="H233" s="208"/>
      <c r="I233" s="208"/>
      <c r="J233" s="208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spans="1:26" ht="11.25" customHeight="1">
      <c r="A234" s="337"/>
      <c r="B234" s="204"/>
      <c r="C234" s="206"/>
      <c r="D234" s="207"/>
      <c r="E234" s="208"/>
      <c r="F234" s="208"/>
      <c r="G234" s="208"/>
      <c r="H234" s="208"/>
      <c r="I234" s="208"/>
      <c r="J234" s="208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spans="1:26" ht="11.25" customHeight="1">
      <c r="A235" s="337"/>
      <c r="B235" s="204"/>
      <c r="C235" s="206"/>
      <c r="D235" s="207"/>
      <c r="E235" s="208"/>
      <c r="F235" s="208"/>
      <c r="G235" s="208"/>
      <c r="H235" s="208"/>
      <c r="I235" s="208"/>
      <c r="J235" s="208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 ht="11.25" customHeight="1">
      <c r="A236" s="337"/>
      <c r="B236" s="204"/>
      <c r="C236" s="206"/>
      <c r="D236" s="207"/>
      <c r="E236" s="208"/>
      <c r="F236" s="208"/>
      <c r="G236" s="208"/>
      <c r="H236" s="208"/>
      <c r="I236" s="208"/>
      <c r="J236" s="208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spans="1:26" ht="11.25" customHeight="1">
      <c r="A237" s="337"/>
      <c r="B237" s="204"/>
      <c r="C237" s="206"/>
      <c r="D237" s="207"/>
      <c r="E237" s="208"/>
      <c r="F237" s="208"/>
      <c r="G237" s="208"/>
      <c r="H237" s="208"/>
      <c r="I237" s="208"/>
      <c r="J237" s="208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spans="1:26" ht="11.25" customHeight="1">
      <c r="A238" s="337"/>
      <c r="B238" s="204"/>
      <c r="C238" s="206"/>
      <c r="D238" s="207"/>
      <c r="E238" s="208"/>
      <c r="F238" s="208"/>
      <c r="G238" s="208"/>
      <c r="H238" s="208"/>
      <c r="I238" s="208"/>
      <c r="J238" s="208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spans="1:26" ht="11.25" customHeight="1">
      <c r="A239" s="337"/>
      <c r="B239" s="204"/>
      <c r="C239" s="206"/>
      <c r="D239" s="207"/>
      <c r="E239" s="208"/>
      <c r="F239" s="208"/>
      <c r="G239" s="208"/>
      <c r="H239" s="208"/>
      <c r="I239" s="208"/>
      <c r="J239" s="208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spans="1:26" ht="11.25" customHeight="1">
      <c r="A240" s="337"/>
      <c r="B240" s="204"/>
      <c r="C240" s="206"/>
      <c r="D240" s="207"/>
      <c r="E240" s="208"/>
      <c r="F240" s="208"/>
      <c r="G240" s="208"/>
      <c r="H240" s="208"/>
      <c r="I240" s="208"/>
      <c r="J240" s="208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 ht="11.25" customHeight="1">
      <c r="A241" s="337"/>
      <c r="B241" s="204"/>
      <c r="C241" s="206"/>
      <c r="D241" s="207"/>
      <c r="E241" s="208"/>
      <c r="F241" s="208"/>
      <c r="G241" s="208"/>
      <c r="H241" s="208"/>
      <c r="I241" s="208"/>
      <c r="J241" s="208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spans="1:26" ht="11.25" customHeight="1">
      <c r="A242" s="337"/>
      <c r="B242" s="204"/>
      <c r="C242" s="206"/>
      <c r="D242" s="207"/>
      <c r="E242" s="208"/>
      <c r="F242" s="208"/>
      <c r="G242" s="208"/>
      <c r="H242" s="208"/>
      <c r="I242" s="208"/>
      <c r="J242" s="208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spans="1:26" ht="11.25" customHeight="1">
      <c r="A243" s="337"/>
      <c r="B243" s="204"/>
      <c r="C243" s="206"/>
      <c r="D243" s="207"/>
      <c r="E243" s="208"/>
      <c r="F243" s="208"/>
      <c r="G243" s="208"/>
      <c r="H243" s="208"/>
      <c r="I243" s="208"/>
      <c r="J243" s="208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spans="1:26" ht="11.25" customHeight="1">
      <c r="A244" s="337"/>
      <c r="B244" s="204"/>
      <c r="C244" s="206"/>
      <c r="D244" s="207"/>
      <c r="E244" s="208"/>
      <c r="F244" s="208"/>
      <c r="G244" s="208"/>
      <c r="H244" s="208"/>
      <c r="I244" s="208"/>
      <c r="J244" s="208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spans="1:26" ht="11.25" customHeight="1">
      <c r="A245" s="337"/>
      <c r="B245" s="204"/>
      <c r="C245" s="206"/>
      <c r="D245" s="207"/>
      <c r="E245" s="208"/>
      <c r="F245" s="208"/>
      <c r="G245" s="208"/>
      <c r="H245" s="208"/>
      <c r="I245" s="208"/>
      <c r="J245" s="208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spans="1:26" ht="11.25" customHeight="1">
      <c r="A246" s="337"/>
      <c r="B246" s="204"/>
      <c r="C246" s="206"/>
      <c r="D246" s="207"/>
      <c r="E246" s="208"/>
      <c r="F246" s="208"/>
      <c r="G246" s="208"/>
      <c r="H246" s="208"/>
      <c r="I246" s="208"/>
      <c r="J246" s="208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spans="1:26" ht="11.25" customHeight="1">
      <c r="A247" s="337"/>
      <c r="B247" s="204"/>
      <c r="C247" s="206"/>
      <c r="D247" s="207"/>
      <c r="E247" s="208"/>
      <c r="F247" s="208"/>
      <c r="G247" s="208"/>
      <c r="H247" s="208"/>
      <c r="I247" s="208"/>
      <c r="J247" s="208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spans="1:26" ht="11.25" customHeight="1">
      <c r="A248" s="337"/>
      <c r="B248" s="204"/>
      <c r="C248" s="206"/>
      <c r="D248" s="207"/>
      <c r="E248" s="208"/>
      <c r="F248" s="208"/>
      <c r="G248" s="208"/>
      <c r="H248" s="208"/>
      <c r="I248" s="208"/>
      <c r="J248" s="208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spans="1:26" ht="11.25" customHeight="1">
      <c r="A249" s="337"/>
      <c r="B249" s="204"/>
      <c r="C249" s="206"/>
      <c r="D249" s="207"/>
      <c r="E249" s="208"/>
      <c r="F249" s="208"/>
      <c r="G249" s="208"/>
      <c r="H249" s="208"/>
      <c r="I249" s="208"/>
      <c r="J249" s="208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 ht="11.25" customHeight="1">
      <c r="A250" s="337"/>
      <c r="B250" s="204"/>
      <c r="C250" s="206"/>
      <c r="D250" s="207"/>
      <c r="E250" s="208"/>
      <c r="F250" s="208"/>
      <c r="G250" s="208"/>
      <c r="H250" s="208"/>
      <c r="I250" s="208"/>
      <c r="J250" s="208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spans="1:26" ht="11.25" customHeight="1">
      <c r="A251" s="337"/>
      <c r="B251" s="204"/>
      <c r="C251" s="206"/>
      <c r="D251" s="207"/>
      <c r="E251" s="208"/>
      <c r="F251" s="208"/>
      <c r="G251" s="208"/>
      <c r="H251" s="208"/>
      <c r="I251" s="208"/>
      <c r="J251" s="208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spans="1:26" ht="11.25" customHeight="1">
      <c r="A252" s="337"/>
      <c r="B252" s="204"/>
      <c r="C252" s="206"/>
      <c r="D252" s="207"/>
      <c r="E252" s="208"/>
      <c r="F252" s="208"/>
      <c r="G252" s="208"/>
      <c r="H252" s="208"/>
      <c r="I252" s="208"/>
      <c r="J252" s="208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spans="1:26" ht="11.25" customHeight="1">
      <c r="A253" s="337"/>
      <c r="B253" s="204"/>
      <c r="C253" s="206"/>
      <c r="D253" s="207"/>
      <c r="E253" s="208"/>
      <c r="F253" s="208"/>
      <c r="G253" s="208"/>
      <c r="H253" s="208"/>
      <c r="I253" s="208"/>
      <c r="J253" s="208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 ht="11.25" customHeight="1">
      <c r="A254" s="337"/>
      <c r="B254" s="204"/>
      <c r="C254" s="206"/>
      <c r="D254" s="207"/>
      <c r="E254" s="208"/>
      <c r="F254" s="208"/>
      <c r="G254" s="208"/>
      <c r="H254" s="208"/>
      <c r="I254" s="208"/>
      <c r="J254" s="208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spans="1:26" ht="11.25" customHeight="1">
      <c r="A255" s="337"/>
      <c r="B255" s="204"/>
      <c r="C255" s="206"/>
      <c r="D255" s="207"/>
      <c r="E255" s="208"/>
      <c r="F255" s="208"/>
      <c r="G255" s="208"/>
      <c r="H255" s="208"/>
      <c r="I255" s="208"/>
      <c r="J255" s="208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spans="1:26" ht="11.25" customHeight="1">
      <c r="A256" s="337"/>
      <c r="B256" s="204"/>
      <c r="C256" s="206"/>
      <c r="D256" s="207"/>
      <c r="E256" s="208"/>
      <c r="F256" s="208"/>
      <c r="G256" s="208"/>
      <c r="H256" s="208"/>
      <c r="I256" s="208"/>
      <c r="J256" s="208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spans="1:26" ht="11.25" customHeight="1">
      <c r="A257" s="337"/>
      <c r="B257" s="204"/>
      <c r="C257" s="206"/>
      <c r="D257" s="207"/>
      <c r="E257" s="208"/>
      <c r="F257" s="208"/>
      <c r="G257" s="208"/>
      <c r="H257" s="208"/>
      <c r="I257" s="208"/>
      <c r="J257" s="208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spans="1:26" ht="11.25" customHeight="1">
      <c r="A258" s="337"/>
      <c r="B258" s="204"/>
      <c r="C258" s="206"/>
      <c r="D258" s="207"/>
      <c r="E258" s="208"/>
      <c r="F258" s="208"/>
      <c r="G258" s="208"/>
      <c r="H258" s="208"/>
      <c r="I258" s="208"/>
      <c r="J258" s="208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spans="1:26" ht="11.25" customHeight="1">
      <c r="A259" s="337"/>
      <c r="B259" s="204"/>
      <c r="C259" s="206"/>
      <c r="D259" s="207"/>
      <c r="E259" s="208"/>
      <c r="F259" s="208"/>
      <c r="G259" s="208"/>
      <c r="H259" s="208"/>
      <c r="I259" s="208"/>
      <c r="J259" s="208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spans="1:26" ht="11.25" customHeight="1">
      <c r="A260" s="337"/>
      <c r="B260" s="204"/>
      <c r="C260" s="206"/>
      <c r="D260" s="207"/>
      <c r="E260" s="208"/>
      <c r="F260" s="208"/>
      <c r="G260" s="208"/>
      <c r="H260" s="208"/>
      <c r="I260" s="208"/>
      <c r="J260" s="208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spans="1:26" ht="11.25" customHeight="1">
      <c r="A261" s="337"/>
      <c r="B261" s="204"/>
      <c r="C261" s="206"/>
      <c r="D261" s="207"/>
      <c r="E261" s="208"/>
      <c r="F261" s="208"/>
      <c r="G261" s="208"/>
      <c r="H261" s="208"/>
      <c r="I261" s="208"/>
      <c r="J261" s="208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spans="1:26" ht="11.25" customHeight="1">
      <c r="A262" s="337"/>
      <c r="B262" s="204"/>
      <c r="C262" s="206"/>
      <c r="D262" s="207"/>
      <c r="E262" s="208"/>
      <c r="F262" s="208"/>
      <c r="G262" s="208"/>
      <c r="H262" s="208"/>
      <c r="I262" s="208"/>
      <c r="J262" s="208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spans="1:26" ht="11.25" customHeight="1">
      <c r="A263" s="337"/>
      <c r="B263" s="204"/>
      <c r="C263" s="206"/>
      <c r="D263" s="207"/>
      <c r="E263" s="208"/>
      <c r="F263" s="208"/>
      <c r="G263" s="208"/>
      <c r="H263" s="208"/>
      <c r="I263" s="208"/>
      <c r="J263" s="208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 ht="11.25" customHeight="1">
      <c r="A264" s="337"/>
      <c r="B264" s="204"/>
      <c r="C264" s="206"/>
      <c r="D264" s="207"/>
      <c r="E264" s="208"/>
      <c r="F264" s="208"/>
      <c r="G264" s="208"/>
      <c r="H264" s="208"/>
      <c r="I264" s="208"/>
      <c r="J264" s="208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spans="1:26" ht="11.25" customHeight="1">
      <c r="A265" s="337"/>
      <c r="B265" s="204"/>
      <c r="C265" s="206"/>
      <c r="D265" s="207"/>
      <c r="E265" s="208"/>
      <c r="F265" s="208"/>
      <c r="G265" s="208"/>
      <c r="H265" s="208"/>
      <c r="I265" s="208"/>
      <c r="J265" s="208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spans="1:26" ht="11.25" customHeight="1">
      <c r="A266" s="337"/>
      <c r="B266" s="204"/>
      <c r="C266" s="206"/>
      <c r="D266" s="207"/>
      <c r="E266" s="208"/>
      <c r="F266" s="208"/>
      <c r="G266" s="208"/>
      <c r="H266" s="208"/>
      <c r="I266" s="208"/>
      <c r="J266" s="208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spans="1:26" ht="11.25" customHeight="1">
      <c r="A267" s="337"/>
      <c r="B267" s="204"/>
      <c r="C267" s="206"/>
      <c r="D267" s="207"/>
      <c r="E267" s="208"/>
      <c r="F267" s="208"/>
      <c r="G267" s="208"/>
      <c r="H267" s="208"/>
      <c r="I267" s="208"/>
      <c r="J267" s="208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spans="1:26" ht="11.25" customHeight="1">
      <c r="A268" s="337"/>
      <c r="B268" s="204"/>
      <c r="C268" s="206"/>
      <c r="D268" s="207"/>
      <c r="E268" s="208"/>
      <c r="F268" s="208"/>
      <c r="G268" s="208"/>
      <c r="H268" s="208"/>
      <c r="I268" s="208"/>
      <c r="J268" s="208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spans="1:26" ht="11.25" customHeight="1">
      <c r="A269" s="337"/>
      <c r="B269" s="204"/>
      <c r="C269" s="206"/>
      <c r="D269" s="207"/>
      <c r="E269" s="208"/>
      <c r="F269" s="208"/>
      <c r="G269" s="208"/>
      <c r="H269" s="208"/>
      <c r="I269" s="208"/>
      <c r="J269" s="208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spans="1:26" ht="11.25" customHeight="1">
      <c r="A270" s="337"/>
      <c r="B270" s="204"/>
      <c r="C270" s="206"/>
      <c r="D270" s="207"/>
      <c r="E270" s="208"/>
      <c r="F270" s="208"/>
      <c r="G270" s="208"/>
      <c r="H270" s="208"/>
      <c r="I270" s="208"/>
      <c r="J270" s="208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spans="1:26" ht="11.25" customHeight="1">
      <c r="A271" s="337"/>
      <c r="B271" s="204"/>
      <c r="C271" s="206"/>
      <c r="D271" s="207"/>
      <c r="E271" s="208"/>
      <c r="F271" s="208"/>
      <c r="G271" s="208"/>
      <c r="H271" s="208"/>
      <c r="I271" s="208"/>
      <c r="J271" s="208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 ht="11.25" customHeight="1">
      <c r="A272" s="337"/>
      <c r="B272" s="204"/>
      <c r="C272" s="206"/>
      <c r="D272" s="207"/>
      <c r="E272" s="208"/>
      <c r="F272" s="208"/>
      <c r="G272" s="208"/>
      <c r="H272" s="208"/>
      <c r="I272" s="208"/>
      <c r="J272" s="208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spans="1:26" ht="11.25" customHeight="1">
      <c r="A273" s="337"/>
      <c r="B273" s="204"/>
      <c r="C273" s="206"/>
      <c r="D273" s="207"/>
      <c r="E273" s="208"/>
      <c r="F273" s="208"/>
      <c r="G273" s="208"/>
      <c r="H273" s="208"/>
      <c r="I273" s="208"/>
      <c r="J273" s="208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spans="1:26" ht="11.25" customHeight="1">
      <c r="A274" s="337"/>
      <c r="B274" s="204"/>
      <c r="C274" s="206"/>
      <c r="D274" s="207"/>
      <c r="E274" s="208"/>
      <c r="F274" s="208"/>
      <c r="G274" s="208"/>
      <c r="H274" s="208"/>
      <c r="I274" s="208"/>
      <c r="J274" s="208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spans="1:26" ht="11.25" customHeight="1">
      <c r="A275" s="337"/>
      <c r="B275" s="204"/>
      <c r="C275" s="206"/>
      <c r="D275" s="207"/>
      <c r="E275" s="208"/>
      <c r="F275" s="208"/>
      <c r="G275" s="208"/>
      <c r="H275" s="208"/>
      <c r="I275" s="208"/>
      <c r="J275" s="208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spans="1:26" ht="11.25" customHeight="1">
      <c r="A276" s="337"/>
      <c r="B276" s="204"/>
      <c r="C276" s="206"/>
      <c r="D276" s="207"/>
      <c r="E276" s="208"/>
      <c r="F276" s="208"/>
      <c r="G276" s="208"/>
      <c r="H276" s="208"/>
      <c r="I276" s="208"/>
      <c r="J276" s="208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spans="1:26" ht="11.25" customHeight="1">
      <c r="A277" s="337"/>
      <c r="B277" s="204"/>
      <c r="C277" s="206"/>
      <c r="D277" s="207"/>
      <c r="E277" s="208"/>
      <c r="F277" s="208"/>
      <c r="G277" s="208"/>
      <c r="H277" s="208"/>
      <c r="I277" s="208"/>
      <c r="J277" s="208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spans="1:26" ht="11.25" customHeight="1">
      <c r="A278" s="337"/>
      <c r="B278" s="204"/>
      <c r="C278" s="206"/>
      <c r="D278" s="207"/>
      <c r="E278" s="208"/>
      <c r="F278" s="208"/>
      <c r="G278" s="208"/>
      <c r="H278" s="208"/>
      <c r="I278" s="208"/>
      <c r="J278" s="208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spans="1:26" ht="11.25" customHeight="1">
      <c r="A279" s="337"/>
      <c r="B279" s="204"/>
      <c r="C279" s="206"/>
      <c r="D279" s="207"/>
      <c r="E279" s="208"/>
      <c r="F279" s="208"/>
      <c r="G279" s="208"/>
      <c r="H279" s="208"/>
      <c r="I279" s="208"/>
      <c r="J279" s="208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spans="1:26" ht="11.25" customHeight="1">
      <c r="A280" s="337"/>
      <c r="B280" s="204"/>
      <c r="C280" s="206"/>
      <c r="D280" s="207"/>
      <c r="E280" s="208"/>
      <c r="F280" s="208"/>
      <c r="G280" s="208"/>
      <c r="H280" s="208"/>
      <c r="I280" s="208"/>
      <c r="J280" s="208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spans="1:26" ht="11.25" customHeight="1">
      <c r="A281" s="337"/>
      <c r="B281" s="204"/>
      <c r="C281" s="206"/>
      <c r="D281" s="207"/>
      <c r="E281" s="208"/>
      <c r="F281" s="208"/>
      <c r="G281" s="208"/>
      <c r="H281" s="208"/>
      <c r="I281" s="208"/>
      <c r="J281" s="208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spans="1:26" ht="11.25" customHeight="1">
      <c r="A282" s="337"/>
      <c r="B282" s="204"/>
      <c r="C282" s="206"/>
      <c r="D282" s="207"/>
      <c r="E282" s="208"/>
      <c r="F282" s="208"/>
      <c r="G282" s="208"/>
      <c r="H282" s="208"/>
      <c r="I282" s="208"/>
      <c r="J282" s="208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spans="1:26" ht="11.25" customHeight="1">
      <c r="A283" s="337"/>
      <c r="B283" s="204"/>
      <c r="C283" s="206"/>
      <c r="D283" s="207"/>
      <c r="E283" s="208"/>
      <c r="F283" s="208"/>
      <c r="G283" s="208"/>
      <c r="H283" s="208"/>
      <c r="I283" s="208"/>
      <c r="J283" s="208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spans="1:26" ht="11.25" customHeight="1">
      <c r="A284" s="337"/>
      <c r="B284" s="204"/>
      <c r="C284" s="206"/>
      <c r="D284" s="207"/>
      <c r="E284" s="208"/>
      <c r="F284" s="208"/>
      <c r="G284" s="208"/>
      <c r="H284" s="208"/>
      <c r="I284" s="208"/>
      <c r="J284" s="208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spans="1:26" ht="11.25" customHeight="1">
      <c r="A285" s="337"/>
      <c r="B285" s="204"/>
      <c r="C285" s="206"/>
      <c r="D285" s="207"/>
      <c r="E285" s="208"/>
      <c r="F285" s="208"/>
      <c r="G285" s="208"/>
      <c r="H285" s="208"/>
      <c r="I285" s="208"/>
      <c r="J285" s="208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spans="1:26" ht="11.25" customHeight="1">
      <c r="A286" s="337"/>
      <c r="B286" s="204"/>
      <c r="C286" s="206"/>
      <c r="D286" s="207"/>
      <c r="E286" s="208"/>
      <c r="F286" s="208"/>
      <c r="G286" s="208"/>
      <c r="H286" s="208"/>
      <c r="I286" s="208"/>
      <c r="J286" s="208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spans="1:26" ht="11.25" customHeight="1">
      <c r="A287" s="337"/>
      <c r="B287" s="204"/>
      <c r="C287" s="206"/>
      <c r="D287" s="207"/>
      <c r="E287" s="208"/>
      <c r="F287" s="208"/>
      <c r="G287" s="208"/>
      <c r="H287" s="208"/>
      <c r="I287" s="208"/>
      <c r="J287" s="208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spans="1:26" ht="11.25" customHeight="1">
      <c r="A288" s="337"/>
      <c r="B288" s="204"/>
      <c r="C288" s="206"/>
      <c r="D288" s="207"/>
      <c r="E288" s="208"/>
      <c r="F288" s="208"/>
      <c r="G288" s="208"/>
      <c r="H288" s="208"/>
      <c r="I288" s="208"/>
      <c r="J288" s="208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spans="1:26" ht="11.25" customHeight="1">
      <c r="A289" s="337"/>
      <c r="B289" s="204"/>
      <c r="C289" s="206"/>
      <c r="D289" s="207"/>
      <c r="E289" s="208"/>
      <c r="F289" s="208"/>
      <c r="G289" s="208"/>
      <c r="H289" s="208"/>
      <c r="I289" s="208"/>
      <c r="J289" s="208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spans="1:26" ht="11.25" customHeight="1">
      <c r="A290" s="337"/>
      <c r="B290" s="204"/>
      <c r="C290" s="206"/>
      <c r="D290" s="207"/>
      <c r="E290" s="208"/>
      <c r="F290" s="208"/>
      <c r="G290" s="208"/>
      <c r="H290" s="208"/>
      <c r="I290" s="208"/>
      <c r="J290" s="208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spans="1:26" ht="11.25" customHeight="1">
      <c r="A291" s="337"/>
      <c r="B291" s="204"/>
      <c r="C291" s="206"/>
      <c r="D291" s="207"/>
      <c r="E291" s="208"/>
      <c r="F291" s="208"/>
      <c r="G291" s="208"/>
      <c r="H291" s="208"/>
      <c r="I291" s="208"/>
      <c r="J291" s="208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spans="1:26" ht="11.25" customHeight="1">
      <c r="A292" s="337"/>
      <c r="B292" s="204"/>
      <c r="C292" s="206"/>
      <c r="D292" s="207"/>
      <c r="E292" s="208"/>
      <c r="F292" s="208"/>
      <c r="G292" s="208"/>
      <c r="H292" s="208"/>
      <c r="I292" s="208"/>
      <c r="J292" s="208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spans="1:26" ht="11.25" customHeight="1">
      <c r="A293" s="337"/>
      <c r="B293" s="204"/>
      <c r="C293" s="206"/>
      <c r="D293" s="207"/>
      <c r="E293" s="208"/>
      <c r="F293" s="208"/>
      <c r="G293" s="208"/>
      <c r="H293" s="208"/>
      <c r="I293" s="208"/>
      <c r="J293" s="208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spans="1:26" ht="11.25" customHeight="1">
      <c r="A294" s="337"/>
      <c r="B294" s="204"/>
      <c r="C294" s="206"/>
      <c r="D294" s="207"/>
      <c r="E294" s="208"/>
      <c r="F294" s="208"/>
      <c r="G294" s="208"/>
      <c r="H294" s="208"/>
      <c r="I294" s="208"/>
      <c r="J294" s="208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spans="1:26" ht="11.25" customHeight="1">
      <c r="A295" s="337"/>
      <c r="B295" s="204"/>
      <c r="C295" s="206"/>
      <c r="D295" s="207"/>
      <c r="E295" s="208"/>
      <c r="F295" s="208"/>
      <c r="G295" s="208"/>
      <c r="H295" s="208"/>
      <c r="I295" s="208"/>
      <c r="J295" s="208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spans="1:26" ht="11.25" customHeight="1">
      <c r="A296" s="337"/>
      <c r="B296" s="204"/>
      <c r="C296" s="206"/>
      <c r="D296" s="207"/>
      <c r="E296" s="208"/>
      <c r="F296" s="208"/>
      <c r="G296" s="208"/>
      <c r="H296" s="208"/>
      <c r="I296" s="208"/>
      <c r="J296" s="208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spans="1:26" ht="11.25" customHeight="1">
      <c r="A297" s="337"/>
      <c r="B297" s="204"/>
      <c r="C297" s="206"/>
      <c r="D297" s="207"/>
      <c r="E297" s="208"/>
      <c r="F297" s="208"/>
      <c r="G297" s="208"/>
      <c r="H297" s="208"/>
      <c r="I297" s="208"/>
      <c r="J297" s="208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spans="1:26" ht="11.25" customHeight="1">
      <c r="A298" s="337"/>
      <c r="B298" s="204"/>
      <c r="C298" s="206"/>
      <c r="D298" s="207"/>
      <c r="E298" s="208"/>
      <c r="F298" s="208"/>
      <c r="G298" s="208"/>
      <c r="H298" s="208"/>
      <c r="I298" s="208"/>
      <c r="J298" s="208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spans="1:26" ht="11.25" customHeight="1">
      <c r="A299" s="337"/>
      <c r="B299" s="204"/>
      <c r="C299" s="206"/>
      <c r="D299" s="207"/>
      <c r="E299" s="208"/>
      <c r="F299" s="208"/>
      <c r="G299" s="208"/>
      <c r="H299" s="208"/>
      <c r="I299" s="208"/>
      <c r="J299" s="208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spans="1:26" ht="11.25" customHeight="1">
      <c r="A300" s="337"/>
      <c r="B300" s="204"/>
      <c r="C300" s="206"/>
      <c r="D300" s="207"/>
      <c r="E300" s="208"/>
      <c r="F300" s="208"/>
      <c r="G300" s="208"/>
      <c r="H300" s="208"/>
      <c r="I300" s="208"/>
      <c r="J300" s="208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spans="1:26" ht="11.25" customHeight="1">
      <c r="A301" s="337"/>
      <c r="B301" s="204"/>
      <c r="C301" s="206"/>
      <c r="D301" s="207"/>
      <c r="E301" s="208"/>
      <c r="F301" s="208"/>
      <c r="G301" s="208"/>
      <c r="H301" s="208"/>
      <c r="I301" s="208"/>
      <c r="J301" s="208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spans="1:26" ht="11.25" customHeight="1">
      <c r="A302" s="337"/>
      <c r="B302" s="204"/>
      <c r="C302" s="206"/>
      <c r="D302" s="207"/>
      <c r="E302" s="208"/>
      <c r="F302" s="208"/>
      <c r="G302" s="208"/>
      <c r="H302" s="208"/>
      <c r="I302" s="208"/>
      <c r="J302" s="208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spans="1:26" ht="11.25" customHeight="1">
      <c r="A303" s="337"/>
      <c r="B303" s="204"/>
      <c r="C303" s="206"/>
      <c r="D303" s="207"/>
      <c r="E303" s="208"/>
      <c r="F303" s="208"/>
      <c r="G303" s="208"/>
      <c r="H303" s="208"/>
      <c r="I303" s="208"/>
      <c r="J303" s="208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spans="1:26" ht="11.25" customHeight="1">
      <c r="A304" s="337"/>
      <c r="B304" s="204"/>
      <c r="C304" s="206"/>
      <c r="D304" s="207"/>
      <c r="E304" s="208"/>
      <c r="F304" s="208"/>
      <c r="G304" s="208"/>
      <c r="H304" s="208"/>
      <c r="I304" s="208"/>
      <c r="J304" s="208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spans="1:26" ht="11.25" customHeight="1">
      <c r="A305" s="337"/>
      <c r="B305" s="204"/>
      <c r="C305" s="206"/>
      <c r="D305" s="207"/>
      <c r="E305" s="208"/>
      <c r="F305" s="208"/>
      <c r="G305" s="208"/>
      <c r="H305" s="208"/>
      <c r="I305" s="208"/>
      <c r="J305" s="208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spans="1:26" ht="11.25" customHeight="1">
      <c r="A306" s="337"/>
      <c r="B306" s="204"/>
      <c r="C306" s="206"/>
      <c r="D306" s="207"/>
      <c r="E306" s="208"/>
      <c r="F306" s="208"/>
      <c r="G306" s="208"/>
      <c r="H306" s="208"/>
      <c r="I306" s="208"/>
      <c r="J306" s="208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spans="1:26" ht="11.25" customHeight="1">
      <c r="A307" s="337"/>
      <c r="B307" s="204"/>
      <c r="C307" s="206"/>
      <c r="D307" s="207"/>
      <c r="E307" s="208"/>
      <c r="F307" s="208"/>
      <c r="G307" s="208"/>
      <c r="H307" s="208"/>
      <c r="I307" s="208"/>
      <c r="J307" s="208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spans="1:26" ht="11.25" customHeight="1">
      <c r="A308" s="337"/>
      <c r="B308" s="204"/>
      <c r="C308" s="206"/>
      <c r="D308" s="207"/>
      <c r="E308" s="208"/>
      <c r="F308" s="208"/>
      <c r="G308" s="208"/>
      <c r="H308" s="208"/>
      <c r="I308" s="208"/>
      <c r="J308" s="208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spans="1:26" ht="11.25" customHeight="1">
      <c r="A309" s="337"/>
      <c r="B309" s="204"/>
      <c r="C309" s="206"/>
      <c r="D309" s="207"/>
      <c r="E309" s="208"/>
      <c r="F309" s="208"/>
      <c r="G309" s="208"/>
      <c r="H309" s="208"/>
      <c r="I309" s="208"/>
      <c r="J309" s="208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spans="1:26" ht="11.25" customHeight="1">
      <c r="A310" s="337"/>
      <c r="B310" s="204"/>
      <c r="C310" s="206"/>
      <c r="D310" s="207"/>
      <c r="E310" s="208"/>
      <c r="F310" s="208"/>
      <c r="G310" s="208"/>
      <c r="H310" s="208"/>
      <c r="I310" s="208"/>
      <c r="J310" s="208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spans="1:26" ht="11.25" customHeight="1">
      <c r="A311" s="337"/>
      <c r="B311" s="204"/>
      <c r="C311" s="206"/>
      <c r="D311" s="207"/>
      <c r="E311" s="208"/>
      <c r="F311" s="208"/>
      <c r="G311" s="208"/>
      <c r="H311" s="208"/>
      <c r="I311" s="208"/>
      <c r="J311" s="208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spans="1:26" ht="11.25" customHeight="1">
      <c r="A312" s="337"/>
      <c r="B312" s="204"/>
      <c r="C312" s="206"/>
      <c r="D312" s="207"/>
      <c r="E312" s="208"/>
      <c r="F312" s="208"/>
      <c r="G312" s="208"/>
      <c r="H312" s="208"/>
      <c r="I312" s="208"/>
      <c r="J312" s="208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spans="1:26" ht="11.25" customHeight="1">
      <c r="A313" s="337"/>
      <c r="B313" s="204"/>
      <c r="C313" s="206"/>
      <c r="D313" s="207"/>
      <c r="E313" s="208"/>
      <c r="F313" s="208"/>
      <c r="G313" s="208"/>
      <c r="H313" s="208"/>
      <c r="I313" s="208"/>
      <c r="J313" s="208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spans="1:26" ht="11.25" customHeight="1">
      <c r="A314" s="337"/>
      <c r="B314" s="204"/>
      <c r="C314" s="206"/>
      <c r="D314" s="207"/>
      <c r="E314" s="208"/>
      <c r="F314" s="208"/>
      <c r="G314" s="208"/>
      <c r="H314" s="208"/>
      <c r="I314" s="208"/>
      <c r="J314" s="208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spans="1:26" ht="11.25" customHeight="1">
      <c r="A315" s="337"/>
      <c r="B315" s="204"/>
      <c r="C315" s="206"/>
      <c r="D315" s="207"/>
      <c r="E315" s="208"/>
      <c r="F315" s="208"/>
      <c r="G315" s="208"/>
      <c r="H315" s="208"/>
      <c r="I315" s="208"/>
      <c r="J315" s="208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spans="1:26" ht="11.25" customHeight="1">
      <c r="A316" s="337"/>
      <c r="B316" s="204"/>
      <c r="C316" s="206"/>
      <c r="D316" s="207"/>
      <c r="E316" s="208"/>
      <c r="F316" s="208"/>
      <c r="G316" s="208"/>
      <c r="H316" s="208"/>
      <c r="I316" s="208"/>
      <c r="J316" s="208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spans="1:26" ht="11.25" customHeight="1">
      <c r="A317" s="337"/>
      <c r="B317" s="204"/>
      <c r="C317" s="206"/>
      <c r="D317" s="207"/>
      <c r="E317" s="208"/>
      <c r="F317" s="208"/>
      <c r="G317" s="208"/>
      <c r="H317" s="208"/>
      <c r="I317" s="208"/>
      <c r="J317" s="208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spans="1:26" ht="11.25" customHeight="1">
      <c r="A318" s="337"/>
      <c r="B318" s="204"/>
      <c r="C318" s="206"/>
      <c r="D318" s="207"/>
      <c r="E318" s="208"/>
      <c r="F318" s="208"/>
      <c r="G318" s="208"/>
      <c r="H318" s="208"/>
      <c r="I318" s="208"/>
      <c r="J318" s="208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spans="1:26" ht="11.25" customHeight="1">
      <c r="A319" s="337"/>
      <c r="B319" s="204"/>
      <c r="C319" s="206"/>
      <c r="D319" s="207"/>
      <c r="E319" s="208"/>
      <c r="F319" s="208"/>
      <c r="G319" s="208"/>
      <c r="H319" s="208"/>
      <c r="I319" s="208"/>
      <c r="J319" s="208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spans="1:26" ht="11.25" customHeight="1">
      <c r="A320" s="337"/>
      <c r="B320" s="204"/>
      <c r="C320" s="206"/>
      <c r="D320" s="207"/>
      <c r="E320" s="208"/>
      <c r="F320" s="208"/>
      <c r="G320" s="208"/>
      <c r="H320" s="208"/>
      <c r="I320" s="208"/>
      <c r="J320" s="208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spans="1:26" ht="11.25" customHeight="1">
      <c r="A321" s="337"/>
      <c r="B321" s="204"/>
      <c r="C321" s="206"/>
      <c r="D321" s="207"/>
      <c r="E321" s="208"/>
      <c r="F321" s="208"/>
      <c r="G321" s="208"/>
      <c r="H321" s="208"/>
      <c r="I321" s="208"/>
      <c r="J321" s="208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spans="1:26" ht="11.25" customHeight="1">
      <c r="A322" s="337"/>
      <c r="B322" s="204"/>
      <c r="C322" s="206"/>
      <c r="D322" s="207"/>
      <c r="E322" s="208"/>
      <c r="F322" s="208"/>
      <c r="G322" s="208"/>
      <c r="H322" s="208"/>
      <c r="I322" s="208"/>
      <c r="J322" s="208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spans="1:26" ht="11.25" customHeight="1">
      <c r="A323" s="337"/>
      <c r="B323" s="204"/>
      <c r="C323" s="206"/>
      <c r="D323" s="207"/>
      <c r="E323" s="208"/>
      <c r="F323" s="208"/>
      <c r="G323" s="208"/>
      <c r="H323" s="208"/>
      <c r="I323" s="208"/>
      <c r="J323" s="208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spans="1:26" ht="11.25" customHeight="1">
      <c r="A324" s="337"/>
      <c r="B324" s="204"/>
      <c r="C324" s="206"/>
      <c r="D324" s="207"/>
      <c r="E324" s="208"/>
      <c r="F324" s="208"/>
      <c r="G324" s="208"/>
      <c r="H324" s="208"/>
      <c r="I324" s="208"/>
      <c r="J324" s="208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spans="1:26" ht="11.25" customHeight="1">
      <c r="A325" s="337"/>
      <c r="B325" s="204"/>
      <c r="C325" s="206"/>
      <c r="D325" s="207"/>
      <c r="E325" s="208"/>
      <c r="F325" s="208"/>
      <c r="G325" s="208"/>
      <c r="H325" s="208"/>
      <c r="I325" s="208"/>
      <c r="J325" s="208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spans="1:26" ht="11.25" customHeight="1">
      <c r="A326" s="337"/>
      <c r="B326" s="204"/>
      <c r="C326" s="206"/>
      <c r="D326" s="207"/>
      <c r="E326" s="208"/>
      <c r="F326" s="208"/>
      <c r="G326" s="208"/>
      <c r="H326" s="208"/>
      <c r="I326" s="208"/>
      <c r="J326" s="208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spans="1:26" ht="11.25" customHeight="1">
      <c r="A327" s="337"/>
      <c r="B327" s="204"/>
      <c r="C327" s="206"/>
      <c r="D327" s="207"/>
      <c r="E327" s="208"/>
      <c r="F327" s="208"/>
      <c r="G327" s="208"/>
      <c r="H327" s="208"/>
      <c r="I327" s="208"/>
      <c r="J327" s="208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spans="1:26" ht="11.25" customHeight="1">
      <c r="A328" s="337"/>
      <c r="B328" s="204"/>
      <c r="C328" s="206"/>
      <c r="D328" s="207"/>
      <c r="E328" s="208"/>
      <c r="F328" s="208"/>
      <c r="G328" s="208"/>
      <c r="H328" s="208"/>
      <c r="I328" s="208"/>
      <c r="J328" s="208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spans="1:26" ht="11.25" customHeight="1">
      <c r="A329" s="337"/>
      <c r="B329" s="204"/>
      <c r="C329" s="206"/>
      <c r="D329" s="207"/>
      <c r="E329" s="208"/>
      <c r="F329" s="208"/>
      <c r="G329" s="208"/>
      <c r="H329" s="208"/>
      <c r="I329" s="208"/>
      <c r="J329" s="208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spans="1:26" ht="11.25" customHeight="1">
      <c r="A330" s="337"/>
      <c r="B330" s="204"/>
      <c r="C330" s="206"/>
      <c r="D330" s="207"/>
      <c r="E330" s="208"/>
      <c r="F330" s="208"/>
      <c r="G330" s="208"/>
      <c r="H330" s="208"/>
      <c r="I330" s="208"/>
      <c r="J330" s="208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spans="1:26" ht="11.25" customHeight="1">
      <c r="A331" s="337"/>
      <c r="B331" s="204"/>
      <c r="C331" s="206"/>
      <c r="D331" s="207"/>
      <c r="E331" s="208"/>
      <c r="F331" s="208"/>
      <c r="G331" s="208"/>
      <c r="H331" s="208"/>
      <c r="I331" s="208"/>
      <c r="J331" s="208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spans="1:26" ht="11.25" customHeight="1">
      <c r="A332" s="337"/>
      <c r="B332" s="204"/>
      <c r="C332" s="206"/>
      <c r="D332" s="207"/>
      <c r="E332" s="208"/>
      <c r="F332" s="208"/>
      <c r="G332" s="208"/>
      <c r="H332" s="208"/>
      <c r="I332" s="208"/>
      <c r="J332" s="208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spans="1:26" ht="11.25" customHeight="1">
      <c r="A333" s="337"/>
      <c r="B333" s="204"/>
      <c r="C333" s="206"/>
      <c r="D333" s="207"/>
      <c r="E333" s="208"/>
      <c r="F333" s="208"/>
      <c r="G333" s="208"/>
      <c r="H333" s="208"/>
      <c r="I333" s="208"/>
      <c r="J333" s="208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spans="1:26" ht="11.25" customHeight="1">
      <c r="A334" s="337"/>
      <c r="B334" s="204"/>
      <c r="C334" s="206"/>
      <c r="D334" s="207"/>
      <c r="E334" s="208"/>
      <c r="F334" s="208"/>
      <c r="G334" s="208"/>
      <c r="H334" s="208"/>
      <c r="I334" s="208"/>
      <c r="J334" s="208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spans="1:26" ht="11.25" customHeight="1">
      <c r="A335" s="337"/>
      <c r="B335" s="204"/>
      <c r="C335" s="206"/>
      <c r="D335" s="207"/>
      <c r="E335" s="208"/>
      <c r="F335" s="208"/>
      <c r="G335" s="208"/>
      <c r="H335" s="208"/>
      <c r="I335" s="208"/>
      <c r="J335" s="208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spans="1:26" ht="11.25" customHeight="1">
      <c r="A336" s="337"/>
      <c r="B336" s="204"/>
      <c r="C336" s="206"/>
      <c r="D336" s="207"/>
      <c r="E336" s="208"/>
      <c r="F336" s="208"/>
      <c r="G336" s="208"/>
      <c r="H336" s="208"/>
      <c r="I336" s="208"/>
      <c r="J336" s="208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spans="1:26" ht="11.25" customHeight="1">
      <c r="A337" s="337"/>
      <c r="B337" s="204"/>
      <c r="C337" s="206"/>
      <c r="D337" s="207"/>
      <c r="E337" s="208"/>
      <c r="F337" s="208"/>
      <c r="G337" s="208"/>
      <c r="H337" s="208"/>
      <c r="I337" s="208"/>
      <c r="J337" s="208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spans="1:26" ht="11.25" customHeight="1">
      <c r="A338" s="337"/>
      <c r="B338" s="204"/>
      <c r="C338" s="206"/>
      <c r="D338" s="207"/>
      <c r="E338" s="208"/>
      <c r="F338" s="208"/>
      <c r="G338" s="208"/>
      <c r="H338" s="208"/>
      <c r="I338" s="208"/>
      <c r="J338" s="208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spans="1:26" ht="11.25" customHeight="1">
      <c r="A339" s="337"/>
      <c r="B339" s="204"/>
      <c r="C339" s="206"/>
      <c r="D339" s="207"/>
      <c r="E339" s="208"/>
      <c r="F339" s="208"/>
      <c r="G339" s="208"/>
      <c r="H339" s="208"/>
      <c r="I339" s="208"/>
      <c r="J339" s="208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spans="1:26" ht="11.25" customHeight="1">
      <c r="A340" s="337"/>
      <c r="B340" s="204"/>
      <c r="C340" s="206"/>
      <c r="D340" s="207"/>
      <c r="E340" s="208"/>
      <c r="F340" s="208"/>
      <c r="G340" s="208"/>
      <c r="H340" s="208"/>
      <c r="I340" s="208"/>
      <c r="J340" s="208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spans="1:26" ht="11.25" customHeight="1">
      <c r="A341" s="337"/>
      <c r="B341" s="204"/>
      <c r="C341" s="206"/>
      <c r="D341" s="207"/>
      <c r="E341" s="208"/>
      <c r="F341" s="208"/>
      <c r="G341" s="208"/>
      <c r="H341" s="208"/>
      <c r="I341" s="208"/>
      <c r="J341" s="208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spans="1:26" ht="11.25" customHeight="1">
      <c r="A342" s="337"/>
      <c r="B342" s="204"/>
      <c r="C342" s="206"/>
      <c r="D342" s="207"/>
      <c r="E342" s="208"/>
      <c r="F342" s="208"/>
      <c r="G342" s="208"/>
      <c r="H342" s="208"/>
      <c r="I342" s="208"/>
      <c r="J342" s="208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spans="1:26" ht="11.25" customHeight="1">
      <c r="A343" s="337"/>
      <c r="B343" s="204"/>
      <c r="C343" s="206"/>
      <c r="D343" s="207"/>
      <c r="E343" s="208"/>
      <c r="F343" s="208"/>
      <c r="G343" s="208"/>
      <c r="H343" s="208"/>
      <c r="I343" s="208"/>
      <c r="J343" s="208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spans="1:26" ht="11.25" customHeight="1">
      <c r="A344" s="337"/>
      <c r="B344" s="204"/>
      <c r="C344" s="206"/>
      <c r="D344" s="207"/>
      <c r="E344" s="208"/>
      <c r="F344" s="208"/>
      <c r="G344" s="208"/>
      <c r="H344" s="208"/>
      <c r="I344" s="208"/>
      <c r="J344" s="208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spans="1:26" ht="11.25" customHeight="1">
      <c r="A345" s="337"/>
      <c r="B345" s="204"/>
      <c r="C345" s="206"/>
      <c r="D345" s="207"/>
      <c r="E345" s="208"/>
      <c r="F345" s="208"/>
      <c r="G345" s="208"/>
      <c r="H345" s="208"/>
      <c r="I345" s="208"/>
      <c r="J345" s="208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spans="1:26" ht="11.25" customHeight="1">
      <c r="A346" s="337"/>
      <c r="B346" s="204"/>
      <c r="C346" s="206"/>
      <c r="D346" s="207"/>
      <c r="E346" s="208"/>
      <c r="F346" s="208"/>
      <c r="G346" s="208"/>
      <c r="H346" s="208"/>
      <c r="I346" s="208"/>
      <c r="J346" s="208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spans="1:26" ht="11.25" customHeight="1">
      <c r="A347" s="337"/>
      <c r="B347" s="204"/>
      <c r="C347" s="206"/>
      <c r="D347" s="207"/>
      <c r="E347" s="208"/>
      <c r="F347" s="208"/>
      <c r="G347" s="208"/>
      <c r="H347" s="208"/>
      <c r="I347" s="208"/>
      <c r="J347" s="208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spans="1:26" ht="11.25" customHeight="1">
      <c r="A348" s="337"/>
      <c r="B348" s="204"/>
      <c r="C348" s="206"/>
      <c r="D348" s="207"/>
      <c r="E348" s="208"/>
      <c r="F348" s="208"/>
      <c r="G348" s="208"/>
      <c r="H348" s="208"/>
      <c r="I348" s="208"/>
      <c r="J348" s="208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spans="1:26" ht="11.25" customHeight="1">
      <c r="A349" s="337"/>
      <c r="B349" s="204"/>
      <c r="C349" s="206"/>
      <c r="D349" s="207"/>
      <c r="E349" s="208"/>
      <c r="F349" s="208"/>
      <c r="G349" s="208"/>
      <c r="H349" s="208"/>
      <c r="I349" s="208"/>
      <c r="J349" s="208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spans="1:26" ht="11.25" customHeight="1">
      <c r="A350" s="337"/>
      <c r="B350" s="204"/>
      <c r="C350" s="206"/>
      <c r="D350" s="207"/>
      <c r="E350" s="208"/>
      <c r="F350" s="208"/>
      <c r="G350" s="208"/>
      <c r="H350" s="208"/>
      <c r="I350" s="208"/>
      <c r="J350" s="208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spans="1:26" ht="11.25" customHeight="1">
      <c r="A351" s="337"/>
      <c r="B351" s="204"/>
      <c r="C351" s="206"/>
      <c r="D351" s="207"/>
      <c r="E351" s="208"/>
      <c r="F351" s="208"/>
      <c r="G351" s="208"/>
      <c r="H351" s="208"/>
      <c r="I351" s="208"/>
      <c r="J351" s="208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spans="1:26" ht="11.25" customHeight="1">
      <c r="A352" s="337"/>
      <c r="B352" s="204"/>
      <c r="C352" s="206"/>
      <c r="D352" s="207"/>
      <c r="E352" s="208"/>
      <c r="F352" s="208"/>
      <c r="G352" s="208"/>
      <c r="H352" s="208"/>
      <c r="I352" s="208"/>
      <c r="J352" s="208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spans="1:26" ht="11.25" customHeight="1">
      <c r="A353" s="337"/>
      <c r="B353" s="204"/>
      <c r="C353" s="206"/>
      <c r="D353" s="207"/>
      <c r="E353" s="208"/>
      <c r="F353" s="208"/>
      <c r="G353" s="208"/>
      <c r="H353" s="208"/>
      <c r="I353" s="208"/>
      <c r="J353" s="208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 ht="11.25" customHeight="1">
      <c r="A354" s="337"/>
      <c r="B354" s="204"/>
      <c r="C354" s="206"/>
      <c r="D354" s="207"/>
      <c r="E354" s="208"/>
      <c r="F354" s="208"/>
      <c r="G354" s="208"/>
      <c r="H354" s="208"/>
      <c r="I354" s="208"/>
      <c r="J354" s="208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spans="1:26" ht="11.25" customHeight="1">
      <c r="A355" s="337"/>
      <c r="B355" s="204"/>
      <c r="C355" s="206"/>
      <c r="D355" s="207"/>
      <c r="E355" s="208"/>
      <c r="F355" s="208"/>
      <c r="G355" s="208"/>
      <c r="H355" s="208"/>
      <c r="I355" s="208"/>
      <c r="J355" s="208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spans="1:26" ht="11.25" customHeight="1">
      <c r="A356" s="337"/>
      <c r="B356" s="204"/>
      <c r="C356" s="206"/>
      <c r="D356" s="207"/>
      <c r="E356" s="208"/>
      <c r="F356" s="208"/>
      <c r="G356" s="208"/>
      <c r="H356" s="208"/>
      <c r="I356" s="208"/>
      <c r="J356" s="208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spans="1:26" ht="11.25" customHeight="1">
      <c r="A357" s="337"/>
      <c r="B357" s="204"/>
      <c r="C357" s="206"/>
      <c r="D357" s="207"/>
      <c r="E357" s="208"/>
      <c r="F357" s="208"/>
      <c r="G357" s="208"/>
      <c r="H357" s="208"/>
      <c r="I357" s="208"/>
      <c r="J357" s="208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spans="1:26" ht="11.25" customHeight="1">
      <c r="A358" s="337"/>
      <c r="B358" s="204"/>
      <c r="C358" s="206"/>
      <c r="D358" s="207"/>
      <c r="E358" s="208"/>
      <c r="F358" s="208"/>
      <c r="G358" s="208"/>
      <c r="H358" s="208"/>
      <c r="I358" s="208"/>
      <c r="J358" s="208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spans="1:26" ht="11.25" customHeight="1">
      <c r="A359" s="337"/>
      <c r="B359" s="204"/>
      <c r="C359" s="206"/>
      <c r="D359" s="207"/>
      <c r="E359" s="208"/>
      <c r="F359" s="208"/>
      <c r="G359" s="208"/>
      <c r="H359" s="208"/>
      <c r="I359" s="208"/>
      <c r="J359" s="208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spans="1:26" ht="11.25" customHeight="1">
      <c r="A360" s="337"/>
      <c r="B360" s="204"/>
      <c r="C360" s="206"/>
      <c r="D360" s="207"/>
      <c r="E360" s="208"/>
      <c r="F360" s="208"/>
      <c r="G360" s="208"/>
      <c r="H360" s="208"/>
      <c r="I360" s="208"/>
      <c r="J360" s="208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spans="1:26" ht="11.25" customHeight="1">
      <c r="A361" s="337"/>
      <c r="B361" s="204"/>
      <c r="C361" s="206"/>
      <c r="D361" s="207"/>
      <c r="E361" s="208"/>
      <c r="F361" s="208"/>
      <c r="G361" s="208"/>
      <c r="H361" s="208"/>
      <c r="I361" s="208"/>
      <c r="J361" s="208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spans="1:26" ht="11.25" customHeight="1">
      <c r="A362" s="337"/>
      <c r="B362" s="204"/>
      <c r="C362" s="206"/>
      <c r="D362" s="207"/>
      <c r="E362" s="208"/>
      <c r="F362" s="208"/>
      <c r="G362" s="208"/>
      <c r="H362" s="208"/>
      <c r="I362" s="208"/>
      <c r="J362" s="208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spans="1:26" ht="11.25" customHeight="1">
      <c r="A363" s="337"/>
      <c r="B363" s="204"/>
      <c r="C363" s="206"/>
      <c r="D363" s="207"/>
      <c r="E363" s="208"/>
      <c r="F363" s="208"/>
      <c r="G363" s="208"/>
      <c r="H363" s="208"/>
      <c r="I363" s="208"/>
      <c r="J363" s="208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spans="1:26" ht="11.25" customHeight="1">
      <c r="A364" s="337"/>
      <c r="B364" s="204"/>
      <c r="C364" s="206"/>
      <c r="D364" s="207"/>
      <c r="E364" s="208"/>
      <c r="F364" s="208"/>
      <c r="G364" s="208"/>
      <c r="H364" s="208"/>
      <c r="I364" s="208"/>
      <c r="J364" s="208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spans="1:26" ht="11.25" customHeight="1">
      <c r="A365" s="337"/>
      <c r="B365" s="204"/>
      <c r="C365" s="206"/>
      <c r="D365" s="207"/>
      <c r="E365" s="208"/>
      <c r="F365" s="208"/>
      <c r="G365" s="208"/>
      <c r="H365" s="208"/>
      <c r="I365" s="208"/>
      <c r="J365" s="208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spans="1:26" ht="11.25" customHeight="1">
      <c r="A366" s="337"/>
      <c r="B366" s="204"/>
      <c r="C366" s="206"/>
      <c r="D366" s="207"/>
      <c r="E366" s="208"/>
      <c r="F366" s="208"/>
      <c r="G366" s="208"/>
      <c r="H366" s="208"/>
      <c r="I366" s="208"/>
      <c r="J366" s="208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spans="1:26" ht="11.25" customHeight="1">
      <c r="A367" s="337"/>
      <c r="B367" s="204"/>
      <c r="C367" s="206"/>
      <c r="D367" s="207"/>
      <c r="E367" s="208"/>
      <c r="F367" s="208"/>
      <c r="G367" s="208"/>
      <c r="H367" s="208"/>
      <c r="I367" s="208"/>
      <c r="J367" s="208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 ht="11.25" customHeight="1">
      <c r="A368" s="337"/>
      <c r="B368" s="204"/>
      <c r="C368" s="206"/>
      <c r="D368" s="207"/>
      <c r="E368" s="208"/>
      <c r="F368" s="208"/>
      <c r="G368" s="208"/>
      <c r="H368" s="208"/>
      <c r="I368" s="208"/>
      <c r="J368" s="208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spans="1:26" ht="11.25" customHeight="1">
      <c r="A369" s="337"/>
      <c r="B369" s="204"/>
      <c r="C369" s="206"/>
      <c r="D369" s="207"/>
      <c r="E369" s="208"/>
      <c r="F369" s="208"/>
      <c r="G369" s="208"/>
      <c r="H369" s="208"/>
      <c r="I369" s="208"/>
      <c r="J369" s="208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spans="1:26" ht="11.25" customHeight="1">
      <c r="A370" s="337"/>
      <c r="B370" s="204"/>
      <c r="C370" s="206"/>
      <c r="D370" s="207"/>
      <c r="E370" s="208"/>
      <c r="F370" s="208"/>
      <c r="G370" s="208"/>
      <c r="H370" s="208"/>
      <c r="I370" s="208"/>
      <c r="J370" s="208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spans="1:26" ht="11.25" customHeight="1">
      <c r="A371" s="337"/>
      <c r="B371" s="204"/>
      <c r="C371" s="206"/>
      <c r="D371" s="207"/>
      <c r="E371" s="208"/>
      <c r="F371" s="208"/>
      <c r="G371" s="208"/>
      <c r="H371" s="208"/>
      <c r="I371" s="208"/>
      <c r="J371" s="208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spans="1:26" ht="11.25" customHeight="1">
      <c r="A372" s="337"/>
      <c r="B372" s="204"/>
      <c r="C372" s="206"/>
      <c r="D372" s="207"/>
      <c r="E372" s="208"/>
      <c r="F372" s="208"/>
      <c r="G372" s="208"/>
      <c r="H372" s="208"/>
      <c r="I372" s="208"/>
      <c r="J372" s="208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spans="1:26" ht="11.25" customHeight="1">
      <c r="A373" s="337"/>
      <c r="B373" s="204"/>
      <c r="C373" s="206"/>
      <c r="D373" s="207"/>
      <c r="E373" s="208"/>
      <c r="F373" s="208"/>
      <c r="G373" s="208"/>
      <c r="H373" s="208"/>
      <c r="I373" s="208"/>
      <c r="J373" s="208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spans="1:26" ht="11.25" customHeight="1">
      <c r="A374" s="337"/>
      <c r="B374" s="204"/>
      <c r="C374" s="206"/>
      <c r="D374" s="207"/>
      <c r="E374" s="208"/>
      <c r="F374" s="208"/>
      <c r="G374" s="208"/>
      <c r="H374" s="208"/>
      <c r="I374" s="208"/>
      <c r="J374" s="208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spans="1:26" ht="11.25" customHeight="1">
      <c r="A375" s="337"/>
      <c r="B375" s="204"/>
      <c r="C375" s="206"/>
      <c r="D375" s="207"/>
      <c r="E375" s="208"/>
      <c r="F375" s="208"/>
      <c r="G375" s="208"/>
      <c r="H375" s="208"/>
      <c r="I375" s="208"/>
      <c r="J375" s="208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spans="1:26" ht="11.25" customHeight="1">
      <c r="A376" s="337"/>
      <c r="B376" s="204"/>
      <c r="C376" s="206"/>
      <c r="D376" s="207"/>
      <c r="E376" s="208"/>
      <c r="F376" s="208"/>
      <c r="G376" s="208"/>
      <c r="H376" s="208"/>
      <c r="I376" s="208"/>
      <c r="J376" s="208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spans="1:26" ht="11.25" customHeight="1">
      <c r="A377" s="337"/>
      <c r="B377" s="204"/>
      <c r="C377" s="206"/>
      <c r="D377" s="207"/>
      <c r="E377" s="208"/>
      <c r="F377" s="208"/>
      <c r="G377" s="208"/>
      <c r="H377" s="208"/>
      <c r="I377" s="208"/>
      <c r="J377" s="208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spans="1:26" ht="11.25" customHeight="1">
      <c r="A378" s="337"/>
      <c r="B378" s="204"/>
      <c r="C378" s="206"/>
      <c r="D378" s="207"/>
      <c r="E378" s="208"/>
      <c r="F378" s="208"/>
      <c r="G378" s="208"/>
      <c r="H378" s="208"/>
      <c r="I378" s="208"/>
      <c r="J378" s="208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spans="1:26" ht="11.25" customHeight="1">
      <c r="A379" s="337"/>
      <c r="B379" s="204"/>
      <c r="C379" s="206"/>
      <c r="D379" s="207"/>
      <c r="E379" s="208"/>
      <c r="F379" s="208"/>
      <c r="G379" s="208"/>
      <c r="H379" s="208"/>
      <c r="I379" s="208"/>
      <c r="J379" s="208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spans="1:26" ht="11.25" customHeight="1">
      <c r="A380" s="337"/>
      <c r="B380" s="204"/>
      <c r="C380" s="206"/>
      <c r="D380" s="207"/>
      <c r="E380" s="208"/>
      <c r="F380" s="208"/>
      <c r="G380" s="208"/>
      <c r="H380" s="208"/>
      <c r="I380" s="208"/>
      <c r="J380" s="208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spans="1:26" ht="11.25" customHeight="1">
      <c r="A381" s="337"/>
      <c r="B381" s="204"/>
      <c r="C381" s="206"/>
      <c r="D381" s="207"/>
      <c r="E381" s="208"/>
      <c r="F381" s="208"/>
      <c r="G381" s="208"/>
      <c r="H381" s="208"/>
      <c r="I381" s="208"/>
      <c r="J381" s="208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spans="1:26" ht="11.25" customHeight="1">
      <c r="A382" s="337"/>
      <c r="B382" s="204"/>
      <c r="C382" s="206"/>
      <c r="D382" s="207"/>
      <c r="E382" s="208"/>
      <c r="F382" s="208"/>
      <c r="G382" s="208"/>
      <c r="H382" s="208"/>
      <c r="I382" s="208"/>
      <c r="J382" s="208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spans="1:26" ht="11.25" customHeight="1">
      <c r="A383" s="337"/>
      <c r="B383" s="204"/>
      <c r="C383" s="206"/>
      <c r="D383" s="207"/>
      <c r="E383" s="208"/>
      <c r="F383" s="208"/>
      <c r="G383" s="208"/>
      <c r="H383" s="208"/>
      <c r="I383" s="208"/>
      <c r="J383" s="208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 ht="11.25" customHeight="1">
      <c r="A384" s="337"/>
      <c r="B384" s="204"/>
      <c r="C384" s="206"/>
      <c r="D384" s="207"/>
      <c r="E384" s="208"/>
      <c r="F384" s="208"/>
      <c r="G384" s="208"/>
      <c r="H384" s="208"/>
      <c r="I384" s="208"/>
      <c r="J384" s="208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spans="1:26" ht="11.25" customHeight="1">
      <c r="A385" s="337"/>
      <c r="B385" s="204"/>
      <c r="C385" s="206"/>
      <c r="D385" s="207"/>
      <c r="E385" s="208"/>
      <c r="F385" s="208"/>
      <c r="G385" s="208"/>
      <c r="H385" s="208"/>
      <c r="I385" s="208"/>
      <c r="J385" s="208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spans="1:26" ht="11.25" customHeight="1">
      <c r="A386" s="337"/>
      <c r="B386" s="204"/>
      <c r="C386" s="206"/>
      <c r="D386" s="207"/>
      <c r="E386" s="208"/>
      <c r="F386" s="208"/>
      <c r="G386" s="208"/>
      <c r="H386" s="208"/>
      <c r="I386" s="208"/>
      <c r="J386" s="208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spans="1:26" ht="11.25" customHeight="1">
      <c r="A387" s="337"/>
      <c r="B387" s="204"/>
      <c r="C387" s="206"/>
      <c r="D387" s="207"/>
      <c r="E387" s="208"/>
      <c r="F387" s="208"/>
      <c r="G387" s="208"/>
      <c r="H387" s="208"/>
      <c r="I387" s="208"/>
      <c r="J387" s="208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spans="1:26" ht="11.25" customHeight="1">
      <c r="A388" s="337"/>
      <c r="B388" s="204"/>
      <c r="C388" s="206"/>
      <c r="D388" s="207"/>
      <c r="E388" s="208"/>
      <c r="F388" s="208"/>
      <c r="G388" s="208"/>
      <c r="H388" s="208"/>
      <c r="I388" s="208"/>
      <c r="J388" s="208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 ht="11.25" customHeight="1">
      <c r="A389" s="337"/>
      <c r="B389" s="204"/>
      <c r="C389" s="206"/>
      <c r="D389" s="207"/>
      <c r="E389" s="208"/>
      <c r="F389" s="208"/>
      <c r="G389" s="208"/>
      <c r="H389" s="208"/>
      <c r="I389" s="208"/>
      <c r="J389" s="208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spans="1:26" ht="11.25" customHeight="1">
      <c r="A390" s="337"/>
      <c r="B390" s="204"/>
      <c r="C390" s="206"/>
      <c r="D390" s="207"/>
      <c r="E390" s="208"/>
      <c r="F390" s="208"/>
      <c r="G390" s="208"/>
      <c r="H390" s="208"/>
      <c r="I390" s="208"/>
      <c r="J390" s="208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spans="1:26" ht="11.25" customHeight="1">
      <c r="A391" s="337"/>
      <c r="B391" s="204"/>
      <c r="C391" s="206"/>
      <c r="D391" s="207"/>
      <c r="E391" s="208"/>
      <c r="F391" s="208"/>
      <c r="G391" s="208"/>
      <c r="H391" s="208"/>
      <c r="I391" s="208"/>
      <c r="J391" s="208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spans="1:26" ht="11.25" customHeight="1">
      <c r="A392" s="337"/>
      <c r="B392" s="204"/>
      <c r="C392" s="206"/>
      <c r="D392" s="207"/>
      <c r="E392" s="208"/>
      <c r="F392" s="208"/>
      <c r="G392" s="208"/>
      <c r="H392" s="208"/>
      <c r="I392" s="208"/>
      <c r="J392" s="208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spans="1:26" ht="11.25" customHeight="1">
      <c r="A393" s="337"/>
      <c r="B393" s="204"/>
      <c r="C393" s="206"/>
      <c r="D393" s="207"/>
      <c r="E393" s="208"/>
      <c r="F393" s="208"/>
      <c r="G393" s="208"/>
      <c r="H393" s="208"/>
      <c r="I393" s="208"/>
      <c r="J393" s="208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spans="1:26" ht="11.25" customHeight="1">
      <c r="A394" s="337"/>
      <c r="B394" s="204"/>
      <c r="C394" s="206"/>
      <c r="D394" s="207"/>
      <c r="E394" s="208"/>
      <c r="F394" s="208"/>
      <c r="G394" s="208"/>
      <c r="H394" s="208"/>
      <c r="I394" s="208"/>
      <c r="J394" s="208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spans="1:26" ht="11.25" customHeight="1">
      <c r="A395" s="337"/>
      <c r="B395" s="204"/>
      <c r="C395" s="206"/>
      <c r="D395" s="207"/>
      <c r="E395" s="208"/>
      <c r="F395" s="208"/>
      <c r="G395" s="208"/>
      <c r="H395" s="208"/>
      <c r="I395" s="208"/>
      <c r="J395" s="208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spans="1:26" ht="11.25" customHeight="1">
      <c r="A396" s="337"/>
      <c r="B396" s="204"/>
      <c r="C396" s="206"/>
      <c r="D396" s="207"/>
      <c r="E396" s="208"/>
      <c r="F396" s="208"/>
      <c r="G396" s="208"/>
      <c r="H396" s="208"/>
      <c r="I396" s="208"/>
      <c r="J396" s="208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spans="1:26" ht="11.25" customHeight="1">
      <c r="A397" s="337"/>
      <c r="B397" s="204"/>
      <c r="C397" s="206"/>
      <c r="D397" s="207"/>
      <c r="E397" s="208"/>
      <c r="F397" s="208"/>
      <c r="G397" s="208"/>
      <c r="H397" s="208"/>
      <c r="I397" s="208"/>
      <c r="J397" s="208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spans="1:26" ht="11.25" customHeight="1">
      <c r="A398" s="337"/>
      <c r="B398" s="204"/>
      <c r="C398" s="206"/>
      <c r="D398" s="207"/>
      <c r="E398" s="208"/>
      <c r="F398" s="208"/>
      <c r="G398" s="208"/>
      <c r="H398" s="208"/>
      <c r="I398" s="208"/>
      <c r="J398" s="208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spans="1:26" ht="11.25" customHeight="1">
      <c r="A399" s="337"/>
      <c r="B399" s="204"/>
      <c r="C399" s="206"/>
      <c r="D399" s="207"/>
      <c r="E399" s="208"/>
      <c r="F399" s="208"/>
      <c r="G399" s="208"/>
      <c r="H399" s="208"/>
      <c r="I399" s="208"/>
      <c r="J399" s="208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 ht="11.25" customHeight="1">
      <c r="A400" s="337"/>
      <c r="B400" s="204"/>
      <c r="C400" s="206"/>
      <c r="D400" s="207"/>
      <c r="E400" s="208"/>
      <c r="F400" s="208"/>
      <c r="G400" s="208"/>
      <c r="H400" s="208"/>
      <c r="I400" s="208"/>
      <c r="J400" s="208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spans="1:26" ht="11.25" customHeight="1">
      <c r="A401" s="337"/>
      <c r="B401" s="204"/>
      <c r="C401" s="206"/>
      <c r="D401" s="207"/>
      <c r="E401" s="208"/>
      <c r="F401" s="208"/>
      <c r="G401" s="208"/>
      <c r="H401" s="208"/>
      <c r="I401" s="208"/>
      <c r="J401" s="208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spans="1:26" ht="11.25" customHeight="1">
      <c r="A402" s="337"/>
      <c r="B402" s="204"/>
      <c r="C402" s="206"/>
      <c r="D402" s="207"/>
      <c r="E402" s="208"/>
      <c r="F402" s="208"/>
      <c r="G402" s="208"/>
      <c r="H402" s="208"/>
      <c r="I402" s="208"/>
      <c r="J402" s="208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spans="1:26" ht="11.25" customHeight="1">
      <c r="A403" s="337"/>
      <c r="B403" s="204"/>
      <c r="C403" s="206"/>
      <c r="D403" s="207"/>
      <c r="E403" s="208"/>
      <c r="F403" s="208"/>
      <c r="G403" s="208"/>
      <c r="H403" s="208"/>
      <c r="I403" s="208"/>
      <c r="J403" s="208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spans="1:26" ht="11.25" customHeight="1">
      <c r="A404" s="337"/>
      <c r="B404" s="204"/>
      <c r="C404" s="206"/>
      <c r="D404" s="207"/>
      <c r="E404" s="208"/>
      <c r="F404" s="208"/>
      <c r="G404" s="208"/>
      <c r="H404" s="208"/>
      <c r="I404" s="208"/>
      <c r="J404" s="208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spans="1:26" ht="11.25" customHeight="1">
      <c r="A405" s="337"/>
      <c r="B405" s="204"/>
      <c r="C405" s="206"/>
      <c r="D405" s="207"/>
      <c r="E405" s="208"/>
      <c r="F405" s="208"/>
      <c r="G405" s="208"/>
      <c r="H405" s="208"/>
      <c r="I405" s="208"/>
      <c r="J405" s="208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spans="1:26" ht="11.25" customHeight="1">
      <c r="A406" s="337"/>
      <c r="B406" s="204"/>
      <c r="C406" s="206"/>
      <c r="D406" s="207"/>
      <c r="E406" s="208"/>
      <c r="F406" s="208"/>
      <c r="G406" s="208"/>
      <c r="H406" s="208"/>
      <c r="I406" s="208"/>
      <c r="J406" s="208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 ht="11.25" customHeight="1">
      <c r="A407" s="337"/>
      <c r="B407" s="204"/>
      <c r="C407" s="206"/>
      <c r="D407" s="207"/>
      <c r="E407" s="208"/>
      <c r="F407" s="208"/>
      <c r="G407" s="208"/>
      <c r="H407" s="208"/>
      <c r="I407" s="208"/>
      <c r="J407" s="208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spans="1:26" ht="11.25" customHeight="1">
      <c r="A408" s="337"/>
      <c r="B408" s="204"/>
      <c r="C408" s="206"/>
      <c r="D408" s="207"/>
      <c r="E408" s="208"/>
      <c r="F408" s="208"/>
      <c r="G408" s="208"/>
      <c r="H408" s="208"/>
      <c r="I408" s="208"/>
      <c r="J408" s="208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spans="1:26" ht="11.25" customHeight="1">
      <c r="A409" s="337"/>
      <c r="B409" s="204"/>
      <c r="C409" s="206"/>
      <c r="D409" s="207"/>
      <c r="E409" s="208"/>
      <c r="F409" s="208"/>
      <c r="G409" s="208"/>
      <c r="H409" s="208"/>
      <c r="I409" s="208"/>
      <c r="J409" s="208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spans="1:26" ht="11.25" customHeight="1">
      <c r="A410" s="337"/>
      <c r="B410" s="204"/>
      <c r="C410" s="206"/>
      <c r="D410" s="207"/>
      <c r="E410" s="208"/>
      <c r="F410" s="208"/>
      <c r="G410" s="208"/>
      <c r="H410" s="208"/>
      <c r="I410" s="208"/>
      <c r="J410" s="208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spans="1:26" ht="11.25" customHeight="1">
      <c r="A411" s="337"/>
      <c r="B411" s="204"/>
      <c r="C411" s="206"/>
      <c r="D411" s="207"/>
      <c r="E411" s="208"/>
      <c r="F411" s="208"/>
      <c r="G411" s="208"/>
      <c r="H411" s="208"/>
      <c r="I411" s="208"/>
      <c r="J411" s="208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spans="1:26" ht="11.25" customHeight="1">
      <c r="A412" s="337"/>
      <c r="B412" s="204"/>
      <c r="C412" s="206"/>
      <c r="D412" s="207"/>
      <c r="E412" s="208"/>
      <c r="F412" s="208"/>
      <c r="G412" s="208"/>
      <c r="H412" s="208"/>
      <c r="I412" s="208"/>
      <c r="J412" s="208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spans="1:26" ht="11.25" customHeight="1">
      <c r="A413" s="337"/>
      <c r="B413" s="204"/>
      <c r="C413" s="206"/>
      <c r="D413" s="207"/>
      <c r="E413" s="208"/>
      <c r="F413" s="208"/>
      <c r="G413" s="208"/>
      <c r="H413" s="208"/>
      <c r="I413" s="208"/>
      <c r="J413" s="208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spans="1:26" ht="11.25" customHeight="1">
      <c r="A414" s="337"/>
      <c r="B414" s="204"/>
      <c r="C414" s="206"/>
      <c r="D414" s="207"/>
      <c r="E414" s="208"/>
      <c r="F414" s="208"/>
      <c r="G414" s="208"/>
      <c r="H414" s="208"/>
      <c r="I414" s="208"/>
      <c r="J414" s="208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spans="1:26" ht="11.25" customHeight="1">
      <c r="A415" s="337"/>
      <c r="B415" s="204"/>
      <c r="C415" s="206"/>
      <c r="D415" s="207"/>
      <c r="E415" s="208"/>
      <c r="F415" s="208"/>
      <c r="G415" s="208"/>
      <c r="H415" s="208"/>
      <c r="I415" s="208"/>
      <c r="J415" s="208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spans="1:26" ht="11.25" customHeight="1">
      <c r="A416" s="337"/>
      <c r="B416" s="204"/>
      <c r="C416" s="206"/>
      <c r="D416" s="207"/>
      <c r="E416" s="208"/>
      <c r="F416" s="208"/>
      <c r="G416" s="208"/>
      <c r="H416" s="208"/>
      <c r="I416" s="208"/>
      <c r="J416" s="208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spans="1:26" ht="11.25" customHeight="1">
      <c r="A417" s="337"/>
      <c r="B417" s="204"/>
      <c r="C417" s="206"/>
      <c r="D417" s="207"/>
      <c r="E417" s="208"/>
      <c r="F417" s="208"/>
      <c r="G417" s="208"/>
      <c r="H417" s="208"/>
      <c r="I417" s="208"/>
      <c r="J417" s="208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spans="1:26" ht="11.25" customHeight="1">
      <c r="A418" s="337"/>
      <c r="B418" s="204"/>
      <c r="C418" s="206"/>
      <c r="D418" s="207"/>
      <c r="E418" s="208"/>
      <c r="F418" s="208"/>
      <c r="G418" s="208"/>
      <c r="H418" s="208"/>
      <c r="I418" s="208"/>
      <c r="J418" s="208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spans="1:26" ht="11.25" customHeight="1">
      <c r="A419" s="337"/>
      <c r="B419" s="204"/>
      <c r="C419" s="206"/>
      <c r="D419" s="207"/>
      <c r="E419" s="208"/>
      <c r="F419" s="208"/>
      <c r="G419" s="208"/>
      <c r="H419" s="208"/>
      <c r="I419" s="208"/>
      <c r="J419" s="208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spans="1:26" ht="11.25" customHeight="1">
      <c r="A420" s="337"/>
      <c r="B420" s="204"/>
      <c r="C420" s="206"/>
      <c r="D420" s="207"/>
      <c r="E420" s="208"/>
      <c r="F420" s="208"/>
      <c r="G420" s="208"/>
      <c r="H420" s="208"/>
      <c r="I420" s="208"/>
      <c r="J420" s="208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spans="1:26" ht="11.25" customHeight="1">
      <c r="A421" s="337"/>
      <c r="B421" s="204"/>
      <c r="C421" s="206"/>
      <c r="D421" s="207"/>
      <c r="E421" s="208"/>
      <c r="F421" s="208"/>
      <c r="G421" s="208"/>
      <c r="H421" s="208"/>
      <c r="I421" s="208"/>
      <c r="J421" s="208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spans="1:26" ht="11.25" customHeight="1">
      <c r="A422" s="337"/>
      <c r="B422" s="204"/>
      <c r="C422" s="206"/>
      <c r="D422" s="207"/>
      <c r="E422" s="208"/>
      <c r="F422" s="208"/>
      <c r="G422" s="208"/>
      <c r="H422" s="208"/>
      <c r="I422" s="208"/>
      <c r="J422" s="208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spans="1:26" ht="11.25" customHeight="1">
      <c r="A423" s="337"/>
      <c r="B423" s="204"/>
      <c r="C423" s="206"/>
      <c r="D423" s="207"/>
      <c r="E423" s="208"/>
      <c r="F423" s="208"/>
      <c r="G423" s="208"/>
      <c r="H423" s="208"/>
      <c r="I423" s="208"/>
      <c r="J423" s="208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spans="1:26" ht="11.25" customHeight="1">
      <c r="A424" s="337"/>
      <c r="B424" s="204"/>
      <c r="C424" s="206"/>
      <c r="D424" s="207"/>
      <c r="E424" s="208"/>
      <c r="F424" s="208"/>
      <c r="G424" s="208"/>
      <c r="H424" s="208"/>
      <c r="I424" s="208"/>
      <c r="J424" s="208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spans="1:26" ht="11.25" customHeight="1">
      <c r="A425" s="337"/>
      <c r="B425" s="204"/>
      <c r="C425" s="206"/>
      <c r="D425" s="207"/>
      <c r="E425" s="208"/>
      <c r="F425" s="208"/>
      <c r="G425" s="208"/>
      <c r="H425" s="208"/>
      <c r="I425" s="208"/>
      <c r="J425" s="208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spans="1:26" ht="11.25" customHeight="1">
      <c r="A426" s="337"/>
      <c r="B426" s="204"/>
      <c r="C426" s="206"/>
      <c r="D426" s="207"/>
      <c r="E426" s="208"/>
      <c r="F426" s="208"/>
      <c r="G426" s="208"/>
      <c r="H426" s="208"/>
      <c r="I426" s="208"/>
      <c r="J426" s="208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spans="1:26" ht="11.25" customHeight="1">
      <c r="A427" s="337"/>
      <c r="B427" s="204"/>
      <c r="C427" s="206"/>
      <c r="D427" s="207"/>
      <c r="E427" s="208"/>
      <c r="F427" s="208"/>
      <c r="G427" s="208"/>
      <c r="H427" s="208"/>
      <c r="I427" s="208"/>
      <c r="J427" s="208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spans="1:26" ht="11.25" customHeight="1">
      <c r="A428" s="337"/>
      <c r="B428" s="204"/>
      <c r="C428" s="206"/>
      <c r="D428" s="207"/>
      <c r="E428" s="208"/>
      <c r="F428" s="208"/>
      <c r="G428" s="208"/>
      <c r="H428" s="208"/>
      <c r="I428" s="208"/>
      <c r="J428" s="208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spans="1:26" ht="11.25" customHeight="1">
      <c r="A429" s="337"/>
      <c r="B429" s="204"/>
      <c r="C429" s="206"/>
      <c r="D429" s="207"/>
      <c r="E429" s="208"/>
      <c r="F429" s="208"/>
      <c r="G429" s="208"/>
      <c r="H429" s="208"/>
      <c r="I429" s="208"/>
      <c r="J429" s="208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spans="1:26" ht="11.25" customHeight="1">
      <c r="A430" s="337"/>
      <c r="B430" s="204"/>
      <c r="C430" s="206"/>
      <c r="D430" s="207"/>
      <c r="E430" s="208"/>
      <c r="F430" s="208"/>
      <c r="G430" s="208"/>
      <c r="H430" s="208"/>
      <c r="I430" s="208"/>
      <c r="J430" s="208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spans="1:26" ht="11.25" customHeight="1">
      <c r="A431" s="337"/>
      <c r="B431" s="204"/>
      <c r="C431" s="206"/>
      <c r="D431" s="207"/>
      <c r="E431" s="208"/>
      <c r="F431" s="208"/>
      <c r="G431" s="208"/>
      <c r="H431" s="208"/>
      <c r="I431" s="208"/>
      <c r="J431" s="208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spans="1:26" ht="11.25" customHeight="1">
      <c r="A432" s="337"/>
      <c r="B432" s="204"/>
      <c r="C432" s="206"/>
      <c r="D432" s="207"/>
      <c r="E432" s="208"/>
      <c r="F432" s="208"/>
      <c r="G432" s="208"/>
      <c r="H432" s="208"/>
      <c r="I432" s="208"/>
      <c r="J432" s="208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spans="1:26" ht="11.25" customHeight="1">
      <c r="A433" s="337"/>
      <c r="B433" s="204"/>
      <c r="C433" s="206"/>
      <c r="D433" s="207"/>
      <c r="E433" s="208"/>
      <c r="F433" s="208"/>
      <c r="G433" s="208"/>
      <c r="H433" s="208"/>
      <c r="I433" s="208"/>
      <c r="J433" s="208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spans="1:26" ht="11.25" customHeight="1">
      <c r="A434" s="337"/>
      <c r="B434" s="204"/>
      <c r="C434" s="206"/>
      <c r="D434" s="207"/>
      <c r="E434" s="208"/>
      <c r="F434" s="208"/>
      <c r="G434" s="208"/>
      <c r="H434" s="208"/>
      <c r="I434" s="208"/>
      <c r="J434" s="208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spans="1:26" ht="11.25" customHeight="1">
      <c r="A435" s="337"/>
      <c r="B435" s="204"/>
      <c r="C435" s="206"/>
      <c r="D435" s="207"/>
      <c r="E435" s="208"/>
      <c r="F435" s="208"/>
      <c r="G435" s="208"/>
      <c r="H435" s="208"/>
      <c r="I435" s="208"/>
      <c r="J435" s="208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spans="1:26" ht="11.25" customHeight="1">
      <c r="A436" s="337"/>
      <c r="B436" s="204"/>
      <c r="C436" s="206"/>
      <c r="D436" s="207"/>
      <c r="E436" s="208"/>
      <c r="F436" s="208"/>
      <c r="G436" s="208"/>
      <c r="H436" s="208"/>
      <c r="I436" s="208"/>
      <c r="J436" s="208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spans="1:26" ht="11.25" customHeight="1">
      <c r="A437" s="337"/>
      <c r="B437" s="204"/>
      <c r="C437" s="206"/>
      <c r="D437" s="207"/>
      <c r="E437" s="208"/>
      <c r="F437" s="208"/>
      <c r="G437" s="208"/>
      <c r="H437" s="208"/>
      <c r="I437" s="208"/>
      <c r="J437" s="208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spans="1:26" ht="11.25" customHeight="1">
      <c r="A438" s="337"/>
      <c r="B438" s="204"/>
      <c r="C438" s="206"/>
      <c r="D438" s="207"/>
      <c r="E438" s="208"/>
      <c r="F438" s="208"/>
      <c r="G438" s="208"/>
      <c r="H438" s="208"/>
      <c r="I438" s="208"/>
      <c r="J438" s="208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spans="1:26" ht="11.25" customHeight="1">
      <c r="A439" s="337"/>
      <c r="B439" s="204"/>
      <c r="C439" s="206"/>
      <c r="D439" s="207"/>
      <c r="E439" s="208"/>
      <c r="F439" s="208"/>
      <c r="G439" s="208"/>
      <c r="H439" s="208"/>
      <c r="I439" s="208"/>
      <c r="J439" s="208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spans="1:26" ht="11.25" customHeight="1">
      <c r="A440" s="337"/>
      <c r="B440" s="204"/>
      <c r="C440" s="206"/>
      <c r="D440" s="207"/>
      <c r="E440" s="208"/>
      <c r="F440" s="208"/>
      <c r="G440" s="208"/>
      <c r="H440" s="208"/>
      <c r="I440" s="208"/>
      <c r="J440" s="208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spans="1:26" ht="11.25" customHeight="1">
      <c r="A441" s="337"/>
      <c r="B441" s="204"/>
      <c r="C441" s="206"/>
      <c r="D441" s="207"/>
      <c r="E441" s="208"/>
      <c r="F441" s="208"/>
      <c r="G441" s="208"/>
      <c r="H441" s="208"/>
      <c r="I441" s="208"/>
      <c r="J441" s="208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spans="1:26" ht="11.25" customHeight="1">
      <c r="A442" s="337"/>
      <c r="B442" s="204"/>
      <c r="C442" s="206"/>
      <c r="D442" s="207"/>
      <c r="E442" s="208"/>
      <c r="F442" s="208"/>
      <c r="G442" s="208"/>
      <c r="H442" s="208"/>
      <c r="I442" s="208"/>
      <c r="J442" s="208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spans="1:26" ht="11.25" customHeight="1">
      <c r="A443" s="337"/>
      <c r="B443" s="204"/>
      <c r="C443" s="206"/>
      <c r="D443" s="207"/>
      <c r="E443" s="208"/>
      <c r="F443" s="208"/>
      <c r="G443" s="208"/>
      <c r="H443" s="208"/>
      <c r="I443" s="208"/>
      <c r="J443" s="208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spans="1:26" ht="11.25" customHeight="1">
      <c r="A444" s="337"/>
      <c r="B444" s="204"/>
      <c r="C444" s="206"/>
      <c r="D444" s="207"/>
      <c r="E444" s="208"/>
      <c r="F444" s="208"/>
      <c r="G444" s="208"/>
      <c r="H444" s="208"/>
      <c r="I444" s="208"/>
      <c r="J444" s="208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spans="1:26" ht="11.25" customHeight="1">
      <c r="A445" s="337"/>
      <c r="B445" s="204"/>
      <c r="C445" s="206"/>
      <c r="D445" s="207"/>
      <c r="E445" s="208"/>
      <c r="F445" s="208"/>
      <c r="G445" s="208"/>
      <c r="H445" s="208"/>
      <c r="I445" s="208"/>
      <c r="J445" s="208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spans="1:26" ht="11.25" customHeight="1">
      <c r="A446" s="337"/>
      <c r="B446" s="204"/>
      <c r="C446" s="206"/>
      <c r="D446" s="207"/>
      <c r="E446" s="208"/>
      <c r="F446" s="208"/>
      <c r="G446" s="208"/>
      <c r="H446" s="208"/>
      <c r="I446" s="208"/>
      <c r="J446" s="208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spans="1:26" ht="11.25" customHeight="1">
      <c r="A447" s="337"/>
      <c r="B447" s="204"/>
      <c r="C447" s="206"/>
      <c r="D447" s="207"/>
      <c r="E447" s="208"/>
      <c r="F447" s="208"/>
      <c r="G447" s="208"/>
      <c r="H447" s="208"/>
      <c r="I447" s="208"/>
      <c r="J447" s="208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spans="1:26" ht="11.25" customHeight="1">
      <c r="A448" s="337"/>
      <c r="B448" s="204"/>
      <c r="C448" s="206"/>
      <c r="D448" s="207"/>
      <c r="E448" s="208"/>
      <c r="F448" s="208"/>
      <c r="G448" s="208"/>
      <c r="H448" s="208"/>
      <c r="I448" s="208"/>
      <c r="J448" s="208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spans="1:26" ht="11.25" customHeight="1">
      <c r="A449" s="337"/>
      <c r="B449" s="204"/>
      <c r="C449" s="206"/>
      <c r="D449" s="207"/>
      <c r="E449" s="208"/>
      <c r="F449" s="208"/>
      <c r="G449" s="208"/>
      <c r="H449" s="208"/>
      <c r="I449" s="208"/>
      <c r="J449" s="208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spans="1:26" ht="11.25" customHeight="1">
      <c r="A450" s="337"/>
      <c r="B450" s="204"/>
      <c r="C450" s="206"/>
      <c r="D450" s="207"/>
      <c r="E450" s="208"/>
      <c r="F450" s="208"/>
      <c r="G450" s="208"/>
      <c r="H450" s="208"/>
      <c r="I450" s="208"/>
      <c r="J450" s="208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spans="1:26" ht="11.25" customHeight="1">
      <c r="A451" s="337"/>
      <c r="B451" s="204"/>
      <c r="C451" s="206"/>
      <c r="D451" s="207"/>
      <c r="E451" s="208"/>
      <c r="F451" s="208"/>
      <c r="G451" s="208"/>
      <c r="H451" s="208"/>
      <c r="I451" s="208"/>
      <c r="J451" s="208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spans="1:26" ht="11.25" customHeight="1">
      <c r="A452" s="337"/>
      <c r="B452" s="204"/>
      <c r="C452" s="206"/>
      <c r="D452" s="207"/>
      <c r="E452" s="208"/>
      <c r="F452" s="208"/>
      <c r="G452" s="208"/>
      <c r="H452" s="208"/>
      <c r="I452" s="208"/>
      <c r="J452" s="208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spans="1:26" ht="11.25" customHeight="1">
      <c r="A453" s="337"/>
      <c r="B453" s="204"/>
      <c r="C453" s="206"/>
      <c r="D453" s="207"/>
      <c r="E453" s="208"/>
      <c r="F453" s="208"/>
      <c r="G453" s="208"/>
      <c r="H453" s="208"/>
      <c r="I453" s="208"/>
      <c r="J453" s="208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spans="1:26" ht="11.25" customHeight="1">
      <c r="A454" s="337"/>
      <c r="B454" s="204"/>
      <c r="C454" s="206"/>
      <c r="D454" s="207"/>
      <c r="E454" s="208"/>
      <c r="F454" s="208"/>
      <c r="G454" s="208"/>
      <c r="H454" s="208"/>
      <c r="I454" s="208"/>
      <c r="J454" s="208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spans="1:26" ht="11.25" customHeight="1">
      <c r="A455" s="337"/>
      <c r="B455" s="204"/>
      <c r="C455" s="206"/>
      <c r="D455" s="207"/>
      <c r="E455" s="208"/>
      <c r="F455" s="208"/>
      <c r="G455" s="208"/>
      <c r="H455" s="208"/>
      <c r="I455" s="208"/>
      <c r="J455" s="208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spans="1:26" ht="11.25" customHeight="1">
      <c r="A456" s="337"/>
      <c r="B456" s="204"/>
      <c r="C456" s="206"/>
      <c r="D456" s="207"/>
      <c r="E456" s="208"/>
      <c r="F456" s="208"/>
      <c r="G456" s="208"/>
      <c r="H456" s="208"/>
      <c r="I456" s="208"/>
      <c r="J456" s="208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spans="1:26" ht="11.25" customHeight="1">
      <c r="A457" s="337"/>
      <c r="B457" s="204"/>
      <c r="C457" s="206"/>
      <c r="D457" s="207"/>
      <c r="E457" s="208"/>
      <c r="F457" s="208"/>
      <c r="G457" s="208"/>
      <c r="H457" s="208"/>
      <c r="I457" s="208"/>
      <c r="J457" s="208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spans="1:26" ht="11.25" customHeight="1">
      <c r="A458" s="337"/>
      <c r="B458" s="204"/>
      <c r="C458" s="206"/>
      <c r="D458" s="207"/>
      <c r="E458" s="208"/>
      <c r="F458" s="208"/>
      <c r="G458" s="208"/>
      <c r="H458" s="208"/>
      <c r="I458" s="208"/>
      <c r="J458" s="208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spans="1:26" ht="11.25" customHeight="1">
      <c r="A459" s="337"/>
      <c r="B459" s="204"/>
      <c r="C459" s="206"/>
      <c r="D459" s="207"/>
      <c r="E459" s="208"/>
      <c r="F459" s="208"/>
      <c r="G459" s="208"/>
      <c r="H459" s="208"/>
      <c r="I459" s="208"/>
      <c r="J459" s="208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spans="1:26" ht="11.25" customHeight="1">
      <c r="A460" s="337"/>
      <c r="B460" s="204"/>
      <c r="C460" s="206"/>
      <c r="D460" s="207"/>
      <c r="E460" s="208"/>
      <c r="F460" s="208"/>
      <c r="G460" s="208"/>
      <c r="H460" s="208"/>
      <c r="I460" s="208"/>
      <c r="J460" s="208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spans="1:26" ht="11.25" customHeight="1">
      <c r="A461" s="337"/>
      <c r="B461" s="204"/>
      <c r="C461" s="206"/>
      <c r="D461" s="207"/>
      <c r="E461" s="208"/>
      <c r="F461" s="208"/>
      <c r="G461" s="208"/>
      <c r="H461" s="208"/>
      <c r="I461" s="208"/>
      <c r="J461" s="208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spans="1:26" ht="11.25" customHeight="1">
      <c r="A462" s="337"/>
      <c r="B462" s="204"/>
      <c r="C462" s="206"/>
      <c r="D462" s="207"/>
      <c r="E462" s="208"/>
      <c r="F462" s="208"/>
      <c r="G462" s="208"/>
      <c r="H462" s="208"/>
      <c r="I462" s="208"/>
      <c r="J462" s="208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spans="1:26" ht="11.25" customHeight="1">
      <c r="A463" s="337"/>
      <c r="B463" s="204"/>
      <c r="C463" s="206"/>
      <c r="D463" s="207"/>
      <c r="E463" s="208"/>
      <c r="F463" s="208"/>
      <c r="G463" s="208"/>
      <c r="H463" s="208"/>
      <c r="I463" s="208"/>
      <c r="J463" s="208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spans="1:26" ht="11.25" customHeight="1">
      <c r="A464" s="337"/>
      <c r="B464" s="204"/>
      <c r="C464" s="206"/>
      <c r="D464" s="207"/>
      <c r="E464" s="208"/>
      <c r="F464" s="208"/>
      <c r="G464" s="208"/>
      <c r="H464" s="208"/>
      <c r="I464" s="208"/>
      <c r="J464" s="208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spans="1:26" ht="11.25" customHeight="1">
      <c r="A465" s="337"/>
      <c r="B465" s="204"/>
      <c r="C465" s="206"/>
      <c r="D465" s="207"/>
      <c r="E465" s="208"/>
      <c r="F465" s="208"/>
      <c r="G465" s="208"/>
      <c r="H465" s="208"/>
      <c r="I465" s="208"/>
      <c r="J465" s="208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spans="1:26" ht="11.25" customHeight="1">
      <c r="A466" s="337"/>
      <c r="B466" s="204"/>
      <c r="C466" s="206"/>
      <c r="D466" s="207"/>
      <c r="E466" s="208"/>
      <c r="F466" s="208"/>
      <c r="G466" s="208"/>
      <c r="H466" s="208"/>
      <c r="I466" s="208"/>
      <c r="J466" s="208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spans="1:26" ht="11.25" customHeight="1">
      <c r="A467" s="337"/>
      <c r="B467" s="204"/>
      <c r="C467" s="206"/>
      <c r="D467" s="207"/>
      <c r="E467" s="208"/>
      <c r="F467" s="208"/>
      <c r="G467" s="208"/>
      <c r="H467" s="208"/>
      <c r="I467" s="208"/>
      <c r="J467" s="208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spans="1:26" ht="11.25" customHeight="1">
      <c r="A468" s="337"/>
      <c r="B468" s="204"/>
      <c r="C468" s="206"/>
      <c r="D468" s="207"/>
      <c r="E468" s="208"/>
      <c r="F468" s="208"/>
      <c r="G468" s="208"/>
      <c r="H468" s="208"/>
      <c r="I468" s="208"/>
      <c r="J468" s="208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spans="1:26" ht="11.25" customHeight="1">
      <c r="A469" s="337"/>
      <c r="B469" s="204"/>
      <c r="C469" s="206"/>
      <c r="D469" s="207"/>
      <c r="E469" s="208"/>
      <c r="F469" s="208"/>
      <c r="G469" s="208"/>
      <c r="H469" s="208"/>
      <c r="I469" s="208"/>
      <c r="J469" s="208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spans="1:26" ht="11.25" customHeight="1">
      <c r="A470" s="337"/>
      <c r="B470" s="204"/>
      <c r="C470" s="206"/>
      <c r="D470" s="207"/>
      <c r="E470" s="208"/>
      <c r="F470" s="208"/>
      <c r="G470" s="208"/>
      <c r="H470" s="208"/>
      <c r="I470" s="208"/>
      <c r="J470" s="208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spans="1:26" ht="11.25" customHeight="1">
      <c r="A471" s="337"/>
      <c r="B471" s="204"/>
      <c r="C471" s="206"/>
      <c r="D471" s="207"/>
      <c r="E471" s="208"/>
      <c r="F471" s="208"/>
      <c r="G471" s="208"/>
      <c r="H471" s="208"/>
      <c r="I471" s="208"/>
      <c r="J471" s="208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spans="1:26" ht="11.25" customHeight="1">
      <c r="A472" s="337"/>
      <c r="B472" s="204"/>
      <c r="C472" s="206"/>
      <c r="D472" s="207"/>
      <c r="E472" s="208"/>
      <c r="F472" s="208"/>
      <c r="G472" s="208"/>
      <c r="H472" s="208"/>
      <c r="I472" s="208"/>
      <c r="J472" s="208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spans="1:26" ht="11.25" customHeight="1">
      <c r="A473" s="337"/>
      <c r="B473" s="204"/>
      <c r="C473" s="206"/>
      <c r="D473" s="207"/>
      <c r="E473" s="208"/>
      <c r="F473" s="208"/>
      <c r="G473" s="208"/>
      <c r="H473" s="208"/>
      <c r="I473" s="208"/>
      <c r="J473" s="208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spans="1:26" ht="11.25" customHeight="1">
      <c r="A474" s="337"/>
      <c r="B474" s="204"/>
      <c r="C474" s="206"/>
      <c r="D474" s="207"/>
      <c r="E474" s="208"/>
      <c r="F474" s="208"/>
      <c r="G474" s="208"/>
      <c r="H474" s="208"/>
      <c r="I474" s="208"/>
      <c r="J474" s="208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spans="1:26" ht="11.25" customHeight="1">
      <c r="A475" s="337"/>
      <c r="B475" s="204"/>
      <c r="C475" s="206"/>
      <c r="D475" s="207"/>
      <c r="E475" s="208"/>
      <c r="F475" s="208"/>
      <c r="G475" s="208"/>
      <c r="H475" s="208"/>
      <c r="I475" s="208"/>
      <c r="J475" s="208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spans="1:26" ht="11.25" customHeight="1">
      <c r="A476" s="337"/>
      <c r="B476" s="204"/>
      <c r="C476" s="206"/>
      <c r="D476" s="207"/>
      <c r="E476" s="208"/>
      <c r="F476" s="208"/>
      <c r="G476" s="208"/>
      <c r="H476" s="208"/>
      <c r="I476" s="208"/>
      <c r="J476" s="208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spans="1:26" ht="11.25" customHeight="1">
      <c r="A477" s="337"/>
      <c r="B477" s="204"/>
      <c r="C477" s="206"/>
      <c r="D477" s="207"/>
      <c r="E477" s="208"/>
      <c r="F477" s="208"/>
      <c r="G477" s="208"/>
      <c r="H477" s="208"/>
      <c r="I477" s="208"/>
      <c r="J477" s="208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spans="1:26" ht="11.25" customHeight="1">
      <c r="A478" s="337"/>
      <c r="B478" s="204"/>
      <c r="C478" s="206"/>
      <c r="D478" s="207"/>
      <c r="E478" s="208"/>
      <c r="F478" s="208"/>
      <c r="G478" s="208"/>
      <c r="H478" s="208"/>
      <c r="I478" s="208"/>
      <c r="J478" s="208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spans="1:26" ht="11.25" customHeight="1">
      <c r="A479" s="337"/>
      <c r="B479" s="204"/>
      <c r="C479" s="206"/>
      <c r="D479" s="207"/>
      <c r="E479" s="208"/>
      <c r="F479" s="208"/>
      <c r="G479" s="208"/>
      <c r="H479" s="208"/>
      <c r="I479" s="208"/>
      <c r="J479" s="208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spans="1:26" ht="11.25" customHeight="1">
      <c r="A480" s="337"/>
      <c r="B480" s="204"/>
      <c r="C480" s="206"/>
      <c r="D480" s="207"/>
      <c r="E480" s="208"/>
      <c r="F480" s="208"/>
      <c r="G480" s="208"/>
      <c r="H480" s="208"/>
      <c r="I480" s="208"/>
      <c r="J480" s="208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spans="1:26" ht="11.25" customHeight="1">
      <c r="A481" s="337"/>
      <c r="B481" s="204"/>
      <c r="C481" s="206"/>
      <c r="D481" s="207"/>
      <c r="E481" s="208"/>
      <c r="F481" s="208"/>
      <c r="G481" s="208"/>
      <c r="H481" s="208"/>
      <c r="I481" s="208"/>
      <c r="J481" s="208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spans="1:26" ht="11.25" customHeight="1">
      <c r="A482" s="337"/>
      <c r="B482" s="204"/>
      <c r="C482" s="206"/>
      <c r="D482" s="207"/>
      <c r="E482" s="208"/>
      <c r="F482" s="208"/>
      <c r="G482" s="208"/>
      <c r="H482" s="208"/>
      <c r="I482" s="208"/>
      <c r="J482" s="208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spans="1:26" ht="11.25" customHeight="1">
      <c r="A483" s="337"/>
      <c r="B483" s="204"/>
      <c r="C483" s="206"/>
      <c r="D483" s="207"/>
      <c r="E483" s="208"/>
      <c r="F483" s="208"/>
      <c r="G483" s="208"/>
      <c r="H483" s="208"/>
      <c r="I483" s="208"/>
      <c r="J483" s="208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spans="1:26" ht="11.25" customHeight="1">
      <c r="A484" s="337"/>
      <c r="B484" s="204"/>
      <c r="C484" s="206"/>
      <c r="D484" s="207"/>
      <c r="E484" s="208"/>
      <c r="F484" s="208"/>
      <c r="G484" s="208"/>
      <c r="H484" s="208"/>
      <c r="I484" s="208"/>
      <c r="J484" s="208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spans="1:26" ht="11.25" customHeight="1">
      <c r="A485" s="337"/>
      <c r="B485" s="204"/>
      <c r="C485" s="206"/>
      <c r="D485" s="207"/>
      <c r="E485" s="208"/>
      <c r="F485" s="208"/>
      <c r="G485" s="208"/>
      <c r="H485" s="208"/>
      <c r="I485" s="208"/>
      <c r="J485" s="208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spans="1:26" ht="11.25" customHeight="1">
      <c r="A486" s="337"/>
      <c r="B486" s="204"/>
      <c r="C486" s="206"/>
      <c r="D486" s="207"/>
      <c r="E486" s="208"/>
      <c r="F486" s="208"/>
      <c r="G486" s="208"/>
      <c r="H486" s="208"/>
      <c r="I486" s="208"/>
      <c r="J486" s="208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spans="1:26" ht="11.25" customHeight="1">
      <c r="A487" s="337"/>
      <c r="B487" s="204"/>
      <c r="C487" s="206"/>
      <c r="D487" s="207"/>
      <c r="E487" s="208"/>
      <c r="F487" s="208"/>
      <c r="G487" s="208"/>
      <c r="H487" s="208"/>
      <c r="I487" s="208"/>
      <c r="J487" s="208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spans="1:26" ht="11.25" customHeight="1">
      <c r="A488" s="337"/>
      <c r="B488" s="204"/>
      <c r="C488" s="206"/>
      <c r="D488" s="207"/>
      <c r="E488" s="208"/>
      <c r="F488" s="208"/>
      <c r="G488" s="208"/>
      <c r="H488" s="208"/>
      <c r="I488" s="208"/>
      <c r="J488" s="208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spans="1:26" ht="11.25" customHeight="1">
      <c r="A489" s="337"/>
      <c r="B489" s="204"/>
      <c r="C489" s="206"/>
      <c r="D489" s="207"/>
      <c r="E489" s="208"/>
      <c r="F489" s="208"/>
      <c r="G489" s="208"/>
      <c r="H489" s="208"/>
      <c r="I489" s="208"/>
      <c r="J489" s="208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spans="1:26" ht="11.25" customHeight="1">
      <c r="A490" s="337"/>
      <c r="B490" s="204"/>
      <c r="C490" s="206"/>
      <c r="D490" s="207"/>
      <c r="E490" s="208"/>
      <c r="F490" s="208"/>
      <c r="G490" s="208"/>
      <c r="H490" s="208"/>
      <c r="I490" s="208"/>
      <c r="J490" s="208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spans="1:26" ht="11.25" customHeight="1">
      <c r="A491" s="337"/>
      <c r="B491" s="204"/>
      <c r="C491" s="206"/>
      <c r="D491" s="207"/>
      <c r="E491" s="208"/>
      <c r="F491" s="208"/>
      <c r="G491" s="208"/>
      <c r="H491" s="208"/>
      <c r="I491" s="208"/>
      <c r="J491" s="208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spans="1:26" ht="11.25" customHeight="1">
      <c r="A492" s="337"/>
      <c r="B492" s="204"/>
      <c r="C492" s="206"/>
      <c r="D492" s="207"/>
      <c r="E492" s="208"/>
      <c r="F492" s="208"/>
      <c r="G492" s="208"/>
      <c r="H492" s="208"/>
      <c r="I492" s="208"/>
      <c r="J492" s="208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spans="1:26" ht="11.25" customHeight="1">
      <c r="A493" s="337"/>
      <c r="B493" s="204"/>
      <c r="C493" s="206"/>
      <c r="D493" s="207"/>
      <c r="E493" s="208"/>
      <c r="F493" s="208"/>
      <c r="G493" s="208"/>
      <c r="H493" s="208"/>
      <c r="I493" s="208"/>
      <c r="J493" s="208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spans="1:26" ht="11.25" customHeight="1">
      <c r="A494" s="337"/>
      <c r="B494" s="204"/>
      <c r="C494" s="206"/>
      <c r="D494" s="207"/>
      <c r="E494" s="208"/>
      <c r="F494" s="208"/>
      <c r="G494" s="208"/>
      <c r="H494" s="208"/>
      <c r="I494" s="208"/>
      <c r="J494" s="208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spans="1:26" ht="11.25" customHeight="1">
      <c r="A495" s="337"/>
      <c r="B495" s="204"/>
      <c r="C495" s="206"/>
      <c r="D495" s="207"/>
      <c r="E495" s="208"/>
      <c r="F495" s="208"/>
      <c r="G495" s="208"/>
      <c r="H495" s="208"/>
      <c r="I495" s="208"/>
      <c r="J495" s="208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spans="1:26" ht="11.25" customHeight="1">
      <c r="A496" s="337"/>
      <c r="B496" s="204"/>
      <c r="C496" s="206"/>
      <c r="D496" s="207"/>
      <c r="E496" s="208"/>
      <c r="F496" s="208"/>
      <c r="G496" s="208"/>
      <c r="H496" s="208"/>
      <c r="I496" s="208"/>
      <c r="J496" s="208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spans="1:26" ht="11.25" customHeight="1">
      <c r="A497" s="337"/>
      <c r="B497" s="204"/>
      <c r="C497" s="206"/>
      <c r="D497" s="207"/>
      <c r="E497" s="208"/>
      <c r="F497" s="208"/>
      <c r="G497" s="208"/>
      <c r="H497" s="208"/>
      <c r="I497" s="208"/>
      <c r="J497" s="208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spans="1:26" ht="11.25" customHeight="1">
      <c r="A498" s="337"/>
      <c r="B498" s="204"/>
      <c r="C498" s="206"/>
      <c r="D498" s="207"/>
      <c r="E498" s="208"/>
      <c r="F498" s="208"/>
      <c r="G498" s="208"/>
      <c r="H498" s="208"/>
      <c r="I498" s="208"/>
      <c r="J498" s="208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spans="1:26" ht="11.25" customHeight="1">
      <c r="A499" s="337"/>
      <c r="B499" s="204"/>
      <c r="C499" s="206"/>
      <c r="D499" s="207"/>
      <c r="E499" s="208"/>
      <c r="F499" s="208"/>
      <c r="G499" s="208"/>
      <c r="H499" s="208"/>
      <c r="I499" s="208"/>
      <c r="J499" s="208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spans="1:26" ht="11.25" customHeight="1">
      <c r="A500" s="337"/>
      <c r="B500" s="204"/>
      <c r="C500" s="206"/>
      <c r="D500" s="207"/>
      <c r="E500" s="208"/>
      <c r="F500" s="208"/>
      <c r="G500" s="208"/>
      <c r="H500" s="208"/>
      <c r="I500" s="208"/>
      <c r="J500" s="208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spans="1:26" ht="11.25" customHeight="1">
      <c r="A501" s="337"/>
      <c r="B501" s="204"/>
      <c r="C501" s="206"/>
      <c r="D501" s="207"/>
      <c r="E501" s="208"/>
      <c r="F501" s="208"/>
      <c r="G501" s="208"/>
      <c r="H501" s="208"/>
      <c r="I501" s="208"/>
      <c r="J501" s="208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spans="1:26" ht="11.25" customHeight="1">
      <c r="A502" s="337"/>
      <c r="B502" s="204"/>
      <c r="C502" s="206"/>
      <c r="D502" s="207"/>
      <c r="E502" s="208"/>
      <c r="F502" s="208"/>
      <c r="G502" s="208"/>
      <c r="H502" s="208"/>
      <c r="I502" s="208"/>
      <c r="J502" s="208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spans="1:26" ht="11.25" customHeight="1">
      <c r="A503" s="337"/>
      <c r="B503" s="204"/>
      <c r="C503" s="206"/>
      <c r="D503" s="207"/>
      <c r="E503" s="208"/>
      <c r="F503" s="208"/>
      <c r="G503" s="208"/>
      <c r="H503" s="208"/>
      <c r="I503" s="208"/>
      <c r="J503" s="208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spans="1:26" ht="11.25" customHeight="1">
      <c r="A504" s="337"/>
      <c r="B504" s="204"/>
      <c r="C504" s="206"/>
      <c r="D504" s="207"/>
      <c r="E504" s="208"/>
      <c r="F504" s="208"/>
      <c r="G504" s="208"/>
      <c r="H504" s="208"/>
      <c r="I504" s="208"/>
      <c r="J504" s="208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spans="1:26" ht="11.25" customHeight="1">
      <c r="A505" s="337"/>
      <c r="B505" s="204"/>
      <c r="C505" s="206"/>
      <c r="D505" s="207"/>
      <c r="E505" s="208"/>
      <c r="F505" s="208"/>
      <c r="G505" s="208"/>
      <c r="H505" s="208"/>
      <c r="I505" s="208"/>
      <c r="J505" s="208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spans="1:26" ht="11.25" customHeight="1">
      <c r="A506" s="337"/>
      <c r="B506" s="204"/>
      <c r="C506" s="206"/>
      <c r="D506" s="207"/>
      <c r="E506" s="208"/>
      <c r="F506" s="208"/>
      <c r="G506" s="208"/>
      <c r="H506" s="208"/>
      <c r="I506" s="208"/>
      <c r="J506" s="208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spans="1:26" ht="11.25" customHeight="1">
      <c r="A507" s="337"/>
      <c r="B507" s="204"/>
      <c r="C507" s="206"/>
      <c r="D507" s="207"/>
      <c r="E507" s="208"/>
      <c r="F507" s="208"/>
      <c r="G507" s="208"/>
      <c r="H507" s="208"/>
      <c r="I507" s="208"/>
      <c r="J507" s="208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spans="1:26" ht="11.25" customHeight="1">
      <c r="A508" s="337"/>
      <c r="B508" s="204"/>
      <c r="C508" s="206"/>
      <c r="D508" s="207"/>
      <c r="E508" s="208"/>
      <c r="F508" s="208"/>
      <c r="G508" s="208"/>
      <c r="H508" s="208"/>
      <c r="I508" s="208"/>
      <c r="J508" s="208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spans="1:26" ht="11.25" customHeight="1">
      <c r="A509" s="337"/>
      <c r="B509" s="204"/>
      <c r="C509" s="206"/>
      <c r="D509" s="207"/>
      <c r="E509" s="208"/>
      <c r="F509" s="208"/>
      <c r="G509" s="208"/>
      <c r="H509" s="208"/>
      <c r="I509" s="208"/>
      <c r="J509" s="208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spans="1:26" ht="11.25" customHeight="1">
      <c r="A510" s="337"/>
      <c r="B510" s="204"/>
      <c r="C510" s="206"/>
      <c r="D510" s="207"/>
      <c r="E510" s="208"/>
      <c r="F510" s="208"/>
      <c r="G510" s="208"/>
      <c r="H510" s="208"/>
      <c r="I510" s="208"/>
      <c r="J510" s="208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spans="1:26" ht="11.25" customHeight="1">
      <c r="A511" s="337"/>
      <c r="B511" s="204"/>
      <c r="C511" s="206"/>
      <c r="D511" s="207"/>
      <c r="E511" s="208"/>
      <c r="F511" s="208"/>
      <c r="G511" s="208"/>
      <c r="H511" s="208"/>
      <c r="I511" s="208"/>
      <c r="J511" s="208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spans="1:26" ht="11.25" customHeight="1">
      <c r="A512" s="337"/>
      <c r="B512" s="204"/>
      <c r="C512" s="206"/>
      <c r="D512" s="207"/>
      <c r="E512" s="208"/>
      <c r="F512" s="208"/>
      <c r="G512" s="208"/>
      <c r="H512" s="208"/>
      <c r="I512" s="208"/>
      <c r="J512" s="208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spans="1:26" ht="11.25" customHeight="1">
      <c r="A513" s="337"/>
      <c r="B513" s="204"/>
      <c r="C513" s="206"/>
      <c r="D513" s="207"/>
      <c r="E513" s="208"/>
      <c r="F513" s="208"/>
      <c r="G513" s="208"/>
      <c r="H513" s="208"/>
      <c r="I513" s="208"/>
      <c r="J513" s="208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spans="1:26" ht="11.25" customHeight="1">
      <c r="A514" s="337"/>
      <c r="B514" s="204"/>
      <c r="C514" s="206"/>
      <c r="D514" s="207"/>
      <c r="E514" s="208"/>
      <c r="F514" s="208"/>
      <c r="G514" s="208"/>
      <c r="H514" s="208"/>
      <c r="I514" s="208"/>
      <c r="J514" s="208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spans="1:26" ht="11.25" customHeight="1">
      <c r="A515" s="337"/>
      <c r="B515" s="204"/>
      <c r="C515" s="206"/>
      <c r="D515" s="207"/>
      <c r="E515" s="208"/>
      <c r="F515" s="208"/>
      <c r="G515" s="208"/>
      <c r="H515" s="208"/>
      <c r="I515" s="208"/>
      <c r="J515" s="208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spans="1:26" ht="11.25" customHeight="1">
      <c r="A516" s="337"/>
      <c r="B516" s="204"/>
      <c r="C516" s="206"/>
      <c r="D516" s="207"/>
      <c r="E516" s="208"/>
      <c r="F516" s="208"/>
      <c r="G516" s="208"/>
      <c r="H516" s="208"/>
      <c r="I516" s="208"/>
      <c r="J516" s="208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spans="1:26" ht="11.25" customHeight="1">
      <c r="A517" s="337"/>
      <c r="B517" s="204"/>
      <c r="C517" s="206"/>
      <c r="D517" s="207"/>
      <c r="E517" s="208"/>
      <c r="F517" s="208"/>
      <c r="G517" s="208"/>
      <c r="H517" s="208"/>
      <c r="I517" s="208"/>
      <c r="J517" s="208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spans="1:26" ht="11.25" customHeight="1">
      <c r="A518" s="337"/>
      <c r="B518" s="204"/>
      <c r="C518" s="206"/>
      <c r="D518" s="207"/>
      <c r="E518" s="208"/>
      <c r="F518" s="208"/>
      <c r="G518" s="208"/>
      <c r="H518" s="208"/>
      <c r="I518" s="208"/>
      <c r="J518" s="208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spans="1:26" ht="11.25" customHeight="1">
      <c r="A519" s="337"/>
      <c r="B519" s="204"/>
      <c r="C519" s="206"/>
      <c r="D519" s="207"/>
      <c r="E519" s="208"/>
      <c r="F519" s="208"/>
      <c r="G519" s="208"/>
      <c r="H519" s="208"/>
      <c r="I519" s="208"/>
      <c r="J519" s="208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spans="1:26" ht="11.25" customHeight="1">
      <c r="A520" s="337"/>
      <c r="B520" s="204"/>
      <c r="C520" s="206"/>
      <c r="D520" s="207"/>
      <c r="E520" s="208"/>
      <c r="F520" s="208"/>
      <c r="G520" s="208"/>
      <c r="H520" s="208"/>
      <c r="I520" s="208"/>
      <c r="J520" s="208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spans="1:26" ht="11.25" customHeight="1">
      <c r="A521" s="337"/>
      <c r="B521" s="204"/>
      <c r="C521" s="206"/>
      <c r="D521" s="207"/>
      <c r="E521" s="208"/>
      <c r="F521" s="208"/>
      <c r="G521" s="208"/>
      <c r="H521" s="208"/>
      <c r="I521" s="208"/>
      <c r="J521" s="208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spans="1:26" ht="11.25" customHeight="1">
      <c r="A522" s="337"/>
      <c r="B522" s="204"/>
      <c r="C522" s="206"/>
      <c r="D522" s="207"/>
      <c r="E522" s="208"/>
      <c r="F522" s="208"/>
      <c r="G522" s="208"/>
      <c r="H522" s="208"/>
      <c r="I522" s="208"/>
      <c r="J522" s="208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spans="1:26" ht="11.25" customHeight="1">
      <c r="A523" s="337"/>
      <c r="B523" s="204"/>
      <c r="C523" s="206"/>
      <c r="D523" s="207"/>
      <c r="E523" s="208"/>
      <c r="F523" s="208"/>
      <c r="G523" s="208"/>
      <c r="H523" s="208"/>
      <c r="I523" s="208"/>
      <c r="J523" s="208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spans="1:26" ht="11.25" customHeight="1">
      <c r="A524" s="337"/>
      <c r="B524" s="204"/>
      <c r="C524" s="206"/>
      <c r="D524" s="207"/>
      <c r="E524" s="208"/>
      <c r="F524" s="208"/>
      <c r="G524" s="208"/>
      <c r="H524" s="208"/>
      <c r="I524" s="208"/>
      <c r="J524" s="208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spans="1:26" ht="11.25" customHeight="1">
      <c r="A525" s="337"/>
      <c r="B525" s="204"/>
      <c r="C525" s="206"/>
      <c r="D525" s="207"/>
      <c r="E525" s="208"/>
      <c r="F525" s="208"/>
      <c r="G525" s="208"/>
      <c r="H525" s="208"/>
      <c r="I525" s="208"/>
      <c r="J525" s="208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spans="1:26" ht="11.25" customHeight="1">
      <c r="A526" s="337"/>
      <c r="B526" s="204"/>
      <c r="C526" s="206"/>
      <c r="D526" s="207"/>
      <c r="E526" s="208"/>
      <c r="F526" s="208"/>
      <c r="G526" s="208"/>
      <c r="H526" s="208"/>
      <c r="I526" s="208"/>
      <c r="J526" s="208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spans="1:26" ht="11.25" customHeight="1">
      <c r="A527" s="337"/>
      <c r="B527" s="204"/>
      <c r="C527" s="206"/>
      <c r="D527" s="207"/>
      <c r="E527" s="208"/>
      <c r="F527" s="208"/>
      <c r="G527" s="208"/>
      <c r="H527" s="208"/>
      <c r="I527" s="208"/>
      <c r="J527" s="208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spans="1:26" ht="11.25" customHeight="1">
      <c r="A528" s="337"/>
      <c r="B528" s="204"/>
      <c r="C528" s="206"/>
      <c r="D528" s="207"/>
      <c r="E528" s="208"/>
      <c r="F528" s="208"/>
      <c r="G528" s="208"/>
      <c r="H528" s="208"/>
      <c r="I528" s="208"/>
      <c r="J528" s="208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spans="1:26" ht="11.25" customHeight="1">
      <c r="A529" s="337"/>
      <c r="B529" s="204"/>
      <c r="C529" s="206"/>
      <c r="D529" s="207"/>
      <c r="E529" s="208"/>
      <c r="F529" s="208"/>
      <c r="G529" s="208"/>
      <c r="H529" s="208"/>
      <c r="I529" s="208"/>
      <c r="J529" s="208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spans="1:26" ht="11.25" customHeight="1">
      <c r="A530" s="337"/>
      <c r="B530" s="204"/>
      <c r="C530" s="206"/>
      <c r="D530" s="207"/>
      <c r="E530" s="208"/>
      <c r="F530" s="208"/>
      <c r="G530" s="208"/>
      <c r="H530" s="208"/>
      <c r="I530" s="208"/>
      <c r="J530" s="208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spans="1:26" ht="11.25" customHeight="1">
      <c r="A531" s="337"/>
      <c r="B531" s="204"/>
      <c r="C531" s="206"/>
      <c r="D531" s="207"/>
      <c r="E531" s="208"/>
      <c r="F531" s="208"/>
      <c r="G531" s="208"/>
      <c r="H531" s="208"/>
      <c r="I531" s="208"/>
      <c r="J531" s="208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spans="1:26" ht="11.25" customHeight="1">
      <c r="A532" s="337"/>
      <c r="B532" s="204"/>
      <c r="C532" s="206"/>
      <c r="D532" s="207"/>
      <c r="E532" s="208"/>
      <c r="F532" s="208"/>
      <c r="G532" s="208"/>
      <c r="H532" s="208"/>
      <c r="I532" s="208"/>
      <c r="J532" s="208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spans="1:26" ht="11.25" customHeight="1">
      <c r="A533" s="337"/>
      <c r="B533" s="204"/>
      <c r="C533" s="206"/>
      <c r="D533" s="207"/>
      <c r="E533" s="208"/>
      <c r="F533" s="208"/>
      <c r="G533" s="208"/>
      <c r="H533" s="208"/>
      <c r="I533" s="208"/>
      <c r="J533" s="208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spans="1:26" ht="11.25" customHeight="1">
      <c r="A534" s="337"/>
      <c r="B534" s="204"/>
      <c r="C534" s="206"/>
      <c r="D534" s="207"/>
      <c r="E534" s="208"/>
      <c r="F534" s="208"/>
      <c r="G534" s="208"/>
      <c r="H534" s="208"/>
      <c r="I534" s="208"/>
      <c r="J534" s="208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spans="1:26" ht="11.25" customHeight="1">
      <c r="A535" s="337"/>
      <c r="B535" s="204"/>
      <c r="C535" s="206"/>
      <c r="D535" s="207"/>
      <c r="E535" s="208"/>
      <c r="F535" s="208"/>
      <c r="G535" s="208"/>
      <c r="H535" s="208"/>
      <c r="I535" s="208"/>
      <c r="J535" s="208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spans="1:26" ht="11.25" customHeight="1">
      <c r="A536" s="337"/>
      <c r="B536" s="204"/>
      <c r="C536" s="206"/>
      <c r="D536" s="207"/>
      <c r="E536" s="208"/>
      <c r="F536" s="208"/>
      <c r="G536" s="208"/>
      <c r="H536" s="208"/>
      <c r="I536" s="208"/>
      <c r="J536" s="208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spans="1:26" ht="11.25" customHeight="1">
      <c r="A537" s="337"/>
      <c r="B537" s="204"/>
      <c r="C537" s="206"/>
      <c r="D537" s="207"/>
      <c r="E537" s="208"/>
      <c r="F537" s="208"/>
      <c r="G537" s="208"/>
      <c r="H537" s="208"/>
      <c r="I537" s="208"/>
      <c r="J537" s="208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spans="1:26" ht="11.25" customHeight="1">
      <c r="A538" s="337"/>
      <c r="B538" s="204"/>
      <c r="C538" s="206"/>
      <c r="D538" s="207"/>
      <c r="E538" s="208"/>
      <c r="F538" s="208"/>
      <c r="G538" s="208"/>
      <c r="H538" s="208"/>
      <c r="I538" s="208"/>
      <c r="J538" s="208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spans="1:26" ht="11.25" customHeight="1">
      <c r="A539" s="337"/>
      <c r="B539" s="204"/>
      <c r="C539" s="206"/>
      <c r="D539" s="207"/>
      <c r="E539" s="208"/>
      <c r="F539" s="208"/>
      <c r="G539" s="208"/>
      <c r="H539" s="208"/>
      <c r="I539" s="208"/>
      <c r="J539" s="208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spans="1:26" ht="11.25" customHeight="1">
      <c r="A540" s="337"/>
      <c r="B540" s="204"/>
      <c r="C540" s="206"/>
      <c r="D540" s="207"/>
      <c r="E540" s="208"/>
      <c r="F540" s="208"/>
      <c r="G540" s="208"/>
      <c r="H540" s="208"/>
      <c r="I540" s="208"/>
      <c r="J540" s="208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spans="1:26" ht="11.25" customHeight="1">
      <c r="A541" s="337"/>
      <c r="B541" s="204"/>
      <c r="C541" s="206"/>
      <c r="D541" s="207"/>
      <c r="E541" s="208"/>
      <c r="F541" s="208"/>
      <c r="G541" s="208"/>
      <c r="H541" s="208"/>
      <c r="I541" s="208"/>
      <c r="J541" s="208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spans="1:26" ht="11.25" customHeight="1">
      <c r="A542" s="337"/>
      <c r="B542" s="204"/>
      <c r="C542" s="206"/>
      <c r="D542" s="207"/>
      <c r="E542" s="208"/>
      <c r="F542" s="208"/>
      <c r="G542" s="208"/>
      <c r="H542" s="208"/>
      <c r="I542" s="208"/>
      <c r="J542" s="208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spans="1:26" ht="11.25" customHeight="1">
      <c r="A543" s="337"/>
      <c r="B543" s="204"/>
      <c r="C543" s="206"/>
      <c r="D543" s="207"/>
      <c r="E543" s="208"/>
      <c r="F543" s="208"/>
      <c r="G543" s="208"/>
      <c r="H543" s="208"/>
      <c r="I543" s="208"/>
      <c r="J543" s="208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spans="1:26" ht="11.25" customHeight="1">
      <c r="A544" s="337"/>
      <c r="B544" s="204"/>
      <c r="C544" s="206"/>
      <c r="D544" s="207"/>
      <c r="E544" s="208"/>
      <c r="F544" s="208"/>
      <c r="G544" s="208"/>
      <c r="H544" s="208"/>
      <c r="I544" s="208"/>
      <c r="J544" s="208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spans="1:26" ht="11.25" customHeight="1">
      <c r="A545" s="337"/>
      <c r="B545" s="204"/>
      <c r="C545" s="206"/>
      <c r="D545" s="207"/>
      <c r="E545" s="208"/>
      <c r="F545" s="208"/>
      <c r="G545" s="208"/>
      <c r="H545" s="208"/>
      <c r="I545" s="208"/>
      <c r="J545" s="208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spans="1:26" ht="11.25" customHeight="1">
      <c r="A546" s="337"/>
      <c r="B546" s="204"/>
      <c r="C546" s="206"/>
      <c r="D546" s="207"/>
      <c r="E546" s="208"/>
      <c r="F546" s="208"/>
      <c r="G546" s="208"/>
      <c r="H546" s="208"/>
      <c r="I546" s="208"/>
      <c r="J546" s="208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spans="1:26" ht="11.25" customHeight="1">
      <c r="A547" s="337"/>
      <c r="B547" s="204"/>
      <c r="C547" s="206"/>
      <c r="D547" s="207"/>
      <c r="E547" s="208"/>
      <c r="F547" s="208"/>
      <c r="G547" s="208"/>
      <c r="H547" s="208"/>
      <c r="I547" s="208"/>
      <c r="J547" s="208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spans="1:26" ht="11.25" customHeight="1">
      <c r="A548" s="337"/>
      <c r="B548" s="204"/>
      <c r="C548" s="206"/>
      <c r="D548" s="207"/>
      <c r="E548" s="208"/>
      <c r="F548" s="208"/>
      <c r="G548" s="208"/>
      <c r="H548" s="208"/>
      <c r="I548" s="208"/>
      <c r="J548" s="208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spans="1:26" ht="11.25" customHeight="1">
      <c r="A549" s="337"/>
      <c r="B549" s="204"/>
      <c r="C549" s="206"/>
      <c r="D549" s="207"/>
      <c r="E549" s="208"/>
      <c r="F549" s="208"/>
      <c r="G549" s="208"/>
      <c r="H549" s="208"/>
      <c r="I549" s="208"/>
      <c r="J549" s="208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spans="1:26" ht="11.25" customHeight="1">
      <c r="A550" s="337"/>
      <c r="B550" s="204"/>
      <c r="C550" s="206"/>
      <c r="D550" s="207"/>
      <c r="E550" s="208"/>
      <c r="F550" s="208"/>
      <c r="G550" s="208"/>
      <c r="H550" s="208"/>
      <c r="I550" s="208"/>
      <c r="J550" s="208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spans="1:26" ht="11.25" customHeight="1">
      <c r="A551" s="337"/>
      <c r="B551" s="204"/>
      <c r="C551" s="206"/>
      <c r="D551" s="207"/>
      <c r="E551" s="208"/>
      <c r="F551" s="208"/>
      <c r="G551" s="208"/>
      <c r="H551" s="208"/>
      <c r="I551" s="208"/>
      <c r="J551" s="208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spans="1:26" ht="11.25" customHeight="1">
      <c r="A552" s="337"/>
      <c r="B552" s="204"/>
      <c r="C552" s="206"/>
      <c r="D552" s="207"/>
      <c r="E552" s="208"/>
      <c r="F552" s="208"/>
      <c r="G552" s="208"/>
      <c r="H552" s="208"/>
      <c r="I552" s="208"/>
      <c r="J552" s="208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spans="1:26" ht="11.25" customHeight="1">
      <c r="A553" s="337"/>
      <c r="B553" s="204"/>
      <c r="C553" s="206"/>
      <c r="D553" s="207"/>
      <c r="E553" s="208"/>
      <c r="F553" s="208"/>
      <c r="G553" s="208"/>
      <c r="H553" s="208"/>
      <c r="I553" s="208"/>
      <c r="J553" s="208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spans="1:26" ht="11.25" customHeight="1">
      <c r="A554" s="337"/>
      <c r="B554" s="204"/>
      <c r="C554" s="206"/>
      <c r="D554" s="207"/>
      <c r="E554" s="208"/>
      <c r="F554" s="208"/>
      <c r="G554" s="208"/>
      <c r="H554" s="208"/>
      <c r="I554" s="208"/>
      <c r="J554" s="208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spans="1:26" ht="11.25" customHeight="1">
      <c r="A555" s="337"/>
      <c r="B555" s="204"/>
      <c r="C555" s="206"/>
      <c r="D555" s="207"/>
      <c r="E555" s="208"/>
      <c r="F555" s="208"/>
      <c r="G555" s="208"/>
      <c r="H555" s="208"/>
      <c r="I555" s="208"/>
      <c r="J555" s="208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spans="1:26" ht="11.25" customHeight="1">
      <c r="A556" s="337"/>
      <c r="B556" s="204"/>
      <c r="C556" s="206"/>
      <c r="D556" s="207"/>
      <c r="E556" s="208"/>
      <c r="F556" s="208"/>
      <c r="G556" s="208"/>
      <c r="H556" s="208"/>
      <c r="I556" s="208"/>
      <c r="J556" s="208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spans="1:26" ht="11.25" customHeight="1">
      <c r="A557" s="337"/>
      <c r="B557" s="204"/>
      <c r="C557" s="206"/>
      <c r="D557" s="207"/>
      <c r="E557" s="208"/>
      <c r="F557" s="208"/>
      <c r="G557" s="208"/>
      <c r="H557" s="208"/>
      <c r="I557" s="208"/>
      <c r="J557" s="208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spans="1:26" ht="11.25" customHeight="1">
      <c r="A558" s="337"/>
      <c r="B558" s="204"/>
      <c r="C558" s="206"/>
      <c r="D558" s="207"/>
      <c r="E558" s="208"/>
      <c r="F558" s="208"/>
      <c r="G558" s="208"/>
      <c r="H558" s="208"/>
      <c r="I558" s="208"/>
      <c r="J558" s="208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spans="1:26" ht="11.25" customHeight="1">
      <c r="A559" s="337"/>
      <c r="B559" s="204"/>
      <c r="C559" s="206"/>
      <c r="D559" s="207"/>
      <c r="E559" s="208"/>
      <c r="F559" s="208"/>
      <c r="G559" s="208"/>
      <c r="H559" s="208"/>
      <c r="I559" s="208"/>
      <c r="J559" s="208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spans="1:26" ht="11.25" customHeight="1">
      <c r="A560" s="337"/>
      <c r="B560" s="204"/>
      <c r="C560" s="206"/>
      <c r="D560" s="207"/>
      <c r="E560" s="208"/>
      <c r="F560" s="208"/>
      <c r="G560" s="208"/>
      <c r="H560" s="208"/>
      <c r="I560" s="208"/>
      <c r="J560" s="208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spans="1:26" ht="11.25" customHeight="1">
      <c r="A561" s="337"/>
      <c r="B561" s="204"/>
      <c r="C561" s="206"/>
      <c r="D561" s="207"/>
      <c r="E561" s="208"/>
      <c r="F561" s="208"/>
      <c r="G561" s="208"/>
      <c r="H561" s="208"/>
      <c r="I561" s="208"/>
      <c r="J561" s="208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spans="1:26" ht="11.25" customHeight="1">
      <c r="A562" s="337"/>
      <c r="B562" s="204"/>
      <c r="C562" s="206"/>
      <c r="D562" s="207"/>
      <c r="E562" s="208"/>
      <c r="F562" s="208"/>
      <c r="G562" s="208"/>
      <c r="H562" s="208"/>
      <c r="I562" s="208"/>
      <c r="J562" s="208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spans="1:26" ht="11.25" customHeight="1">
      <c r="A563" s="337"/>
      <c r="B563" s="204"/>
      <c r="C563" s="206"/>
      <c r="D563" s="207"/>
      <c r="E563" s="208"/>
      <c r="F563" s="208"/>
      <c r="G563" s="208"/>
      <c r="H563" s="208"/>
      <c r="I563" s="208"/>
      <c r="J563" s="208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spans="1:26" ht="11.25" customHeight="1">
      <c r="A564" s="337"/>
      <c r="B564" s="204"/>
      <c r="C564" s="206"/>
      <c r="D564" s="207"/>
      <c r="E564" s="208"/>
      <c r="F564" s="208"/>
      <c r="G564" s="208"/>
      <c r="H564" s="208"/>
      <c r="I564" s="208"/>
      <c r="J564" s="208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spans="1:26" ht="11.25" customHeight="1">
      <c r="A565" s="337"/>
      <c r="B565" s="204"/>
      <c r="C565" s="206"/>
      <c r="D565" s="207"/>
      <c r="E565" s="208"/>
      <c r="F565" s="208"/>
      <c r="G565" s="208"/>
      <c r="H565" s="208"/>
      <c r="I565" s="208"/>
      <c r="J565" s="208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spans="1:26" ht="11.25" customHeight="1">
      <c r="A566" s="337"/>
      <c r="B566" s="204"/>
      <c r="C566" s="206"/>
      <c r="D566" s="207"/>
      <c r="E566" s="208"/>
      <c r="F566" s="208"/>
      <c r="G566" s="208"/>
      <c r="H566" s="208"/>
      <c r="I566" s="208"/>
      <c r="J566" s="208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spans="1:26" ht="11.25" customHeight="1">
      <c r="A567" s="337"/>
      <c r="B567" s="204"/>
      <c r="C567" s="206"/>
      <c r="D567" s="207"/>
      <c r="E567" s="208"/>
      <c r="F567" s="208"/>
      <c r="G567" s="208"/>
      <c r="H567" s="208"/>
      <c r="I567" s="208"/>
      <c r="J567" s="208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spans="1:26" ht="11.25" customHeight="1">
      <c r="A568" s="337"/>
      <c r="B568" s="204"/>
      <c r="C568" s="206"/>
      <c r="D568" s="207"/>
      <c r="E568" s="208"/>
      <c r="F568" s="208"/>
      <c r="G568" s="208"/>
      <c r="H568" s="208"/>
      <c r="I568" s="208"/>
      <c r="J568" s="208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spans="1:26" ht="11.25" customHeight="1">
      <c r="A569" s="337"/>
      <c r="B569" s="204"/>
      <c r="C569" s="206"/>
      <c r="D569" s="207"/>
      <c r="E569" s="208"/>
      <c r="F569" s="208"/>
      <c r="G569" s="208"/>
      <c r="H569" s="208"/>
      <c r="I569" s="208"/>
      <c r="J569" s="208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spans="1:26" ht="11.25" customHeight="1">
      <c r="A570" s="337"/>
      <c r="B570" s="204"/>
      <c r="C570" s="206"/>
      <c r="D570" s="207"/>
      <c r="E570" s="208"/>
      <c r="F570" s="208"/>
      <c r="G570" s="208"/>
      <c r="H570" s="208"/>
      <c r="I570" s="208"/>
      <c r="J570" s="208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spans="1:26" ht="11.25" customHeight="1">
      <c r="A571" s="337"/>
      <c r="B571" s="204"/>
      <c r="C571" s="206"/>
      <c r="D571" s="207"/>
      <c r="E571" s="208"/>
      <c r="F571" s="208"/>
      <c r="G571" s="208"/>
      <c r="H571" s="208"/>
      <c r="I571" s="208"/>
      <c r="J571" s="208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spans="1:26" ht="11.25" customHeight="1">
      <c r="A572" s="337"/>
      <c r="B572" s="204"/>
      <c r="C572" s="206"/>
      <c r="D572" s="207"/>
      <c r="E572" s="208"/>
      <c r="F572" s="208"/>
      <c r="G572" s="208"/>
      <c r="H572" s="208"/>
      <c r="I572" s="208"/>
      <c r="J572" s="208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spans="1:26" ht="11.25" customHeight="1">
      <c r="A573" s="337"/>
      <c r="B573" s="204"/>
      <c r="C573" s="206"/>
      <c r="D573" s="207"/>
      <c r="E573" s="208"/>
      <c r="F573" s="208"/>
      <c r="G573" s="208"/>
      <c r="H573" s="208"/>
      <c r="I573" s="208"/>
      <c r="J573" s="208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spans="1:26" ht="11.25" customHeight="1">
      <c r="A574" s="337"/>
      <c r="B574" s="204"/>
      <c r="C574" s="206"/>
      <c r="D574" s="207"/>
      <c r="E574" s="208"/>
      <c r="F574" s="208"/>
      <c r="G574" s="208"/>
      <c r="H574" s="208"/>
      <c r="I574" s="208"/>
      <c r="J574" s="208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spans="1:26" ht="11.25" customHeight="1">
      <c r="A575" s="337"/>
      <c r="B575" s="204"/>
      <c r="C575" s="206"/>
      <c r="D575" s="207"/>
      <c r="E575" s="208"/>
      <c r="F575" s="208"/>
      <c r="G575" s="208"/>
      <c r="H575" s="208"/>
      <c r="I575" s="208"/>
      <c r="J575" s="208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spans="1:26" ht="11.25" customHeight="1">
      <c r="A576" s="337"/>
      <c r="B576" s="204"/>
      <c r="C576" s="206"/>
      <c r="D576" s="207"/>
      <c r="E576" s="208"/>
      <c r="F576" s="208"/>
      <c r="G576" s="208"/>
      <c r="H576" s="208"/>
      <c r="I576" s="208"/>
      <c r="J576" s="208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spans="1:26" ht="11.25" customHeight="1">
      <c r="A577" s="337"/>
      <c r="B577" s="204"/>
      <c r="C577" s="206"/>
      <c r="D577" s="207"/>
      <c r="E577" s="208"/>
      <c r="F577" s="208"/>
      <c r="G577" s="208"/>
      <c r="H577" s="208"/>
      <c r="I577" s="208"/>
      <c r="J577" s="208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spans="1:26" ht="11.25" customHeight="1">
      <c r="A578" s="337"/>
      <c r="B578" s="204"/>
      <c r="C578" s="206"/>
      <c r="D578" s="207"/>
      <c r="E578" s="208"/>
      <c r="F578" s="208"/>
      <c r="G578" s="208"/>
      <c r="H578" s="208"/>
      <c r="I578" s="208"/>
      <c r="J578" s="208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spans="1:26" ht="11.25" customHeight="1">
      <c r="A579" s="337"/>
      <c r="B579" s="204"/>
      <c r="C579" s="206"/>
      <c r="D579" s="207"/>
      <c r="E579" s="208"/>
      <c r="F579" s="208"/>
      <c r="G579" s="208"/>
      <c r="H579" s="208"/>
      <c r="I579" s="208"/>
      <c r="J579" s="208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spans="1:26" ht="11.25" customHeight="1">
      <c r="A580" s="337"/>
      <c r="B580" s="204"/>
      <c r="C580" s="206"/>
      <c r="D580" s="207"/>
      <c r="E580" s="208"/>
      <c r="F580" s="208"/>
      <c r="G580" s="208"/>
      <c r="H580" s="208"/>
      <c r="I580" s="208"/>
      <c r="J580" s="208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spans="1:26" ht="11.25" customHeight="1">
      <c r="A581" s="337"/>
      <c r="B581" s="204"/>
      <c r="C581" s="206"/>
      <c r="D581" s="207"/>
      <c r="E581" s="208"/>
      <c r="F581" s="208"/>
      <c r="G581" s="208"/>
      <c r="H581" s="208"/>
      <c r="I581" s="208"/>
      <c r="J581" s="208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spans="1:26" ht="11.25" customHeight="1">
      <c r="A582" s="337"/>
      <c r="B582" s="204"/>
      <c r="C582" s="206"/>
      <c r="D582" s="207"/>
      <c r="E582" s="208"/>
      <c r="F582" s="208"/>
      <c r="G582" s="208"/>
      <c r="H582" s="208"/>
      <c r="I582" s="208"/>
      <c r="J582" s="208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spans="1:26" ht="11.25" customHeight="1">
      <c r="A583" s="337"/>
      <c r="B583" s="204"/>
      <c r="C583" s="206"/>
      <c r="D583" s="207"/>
      <c r="E583" s="208"/>
      <c r="F583" s="208"/>
      <c r="G583" s="208"/>
      <c r="H583" s="208"/>
      <c r="I583" s="208"/>
      <c r="J583" s="208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spans="1:26" ht="11.25" customHeight="1">
      <c r="A584" s="337"/>
      <c r="B584" s="204"/>
      <c r="C584" s="206"/>
      <c r="D584" s="207"/>
      <c r="E584" s="208"/>
      <c r="F584" s="208"/>
      <c r="G584" s="208"/>
      <c r="H584" s="208"/>
      <c r="I584" s="208"/>
      <c r="J584" s="208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spans="1:26" ht="11.25" customHeight="1">
      <c r="A585" s="337"/>
      <c r="B585" s="204"/>
      <c r="C585" s="206"/>
      <c r="D585" s="207"/>
      <c r="E585" s="208"/>
      <c r="F585" s="208"/>
      <c r="G585" s="208"/>
      <c r="H585" s="208"/>
      <c r="I585" s="208"/>
      <c r="J585" s="208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spans="1:26" ht="11.25" customHeight="1">
      <c r="A586" s="337"/>
      <c r="B586" s="204"/>
      <c r="C586" s="206"/>
      <c r="D586" s="207"/>
      <c r="E586" s="208"/>
      <c r="F586" s="208"/>
      <c r="G586" s="208"/>
      <c r="H586" s="208"/>
      <c r="I586" s="208"/>
      <c r="J586" s="208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spans="1:26" ht="11.25" customHeight="1">
      <c r="A587" s="337"/>
      <c r="B587" s="204"/>
      <c r="C587" s="206"/>
      <c r="D587" s="207"/>
      <c r="E587" s="208"/>
      <c r="F587" s="208"/>
      <c r="G587" s="208"/>
      <c r="H587" s="208"/>
      <c r="I587" s="208"/>
      <c r="J587" s="208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spans="1:26" ht="11.25" customHeight="1">
      <c r="A588" s="337"/>
      <c r="B588" s="204"/>
      <c r="C588" s="206"/>
      <c r="D588" s="207"/>
      <c r="E588" s="208"/>
      <c r="F588" s="208"/>
      <c r="G588" s="208"/>
      <c r="H588" s="208"/>
      <c r="I588" s="208"/>
      <c r="J588" s="208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spans="1:26" ht="11.25" customHeight="1">
      <c r="A589" s="337"/>
      <c r="B589" s="204"/>
      <c r="C589" s="206"/>
      <c r="D589" s="207"/>
      <c r="E589" s="208"/>
      <c r="F589" s="208"/>
      <c r="G589" s="208"/>
      <c r="H589" s="208"/>
      <c r="I589" s="208"/>
      <c r="J589" s="208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spans="1:26" ht="11.25" customHeight="1">
      <c r="A590" s="337"/>
      <c r="B590" s="204"/>
      <c r="C590" s="206"/>
      <c r="D590" s="207"/>
      <c r="E590" s="208"/>
      <c r="F590" s="208"/>
      <c r="G590" s="208"/>
      <c r="H590" s="208"/>
      <c r="I590" s="208"/>
      <c r="J590" s="208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spans="1:26" ht="11.25" customHeight="1">
      <c r="A591" s="337"/>
      <c r="B591" s="204"/>
      <c r="C591" s="206"/>
      <c r="D591" s="207"/>
      <c r="E591" s="208"/>
      <c r="F591" s="208"/>
      <c r="G591" s="208"/>
      <c r="H591" s="208"/>
      <c r="I591" s="208"/>
      <c r="J591" s="208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spans="1:26" ht="11.25" customHeight="1">
      <c r="A592" s="337"/>
      <c r="B592" s="204"/>
      <c r="C592" s="206"/>
      <c r="D592" s="207"/>
      <c r="E592" s="208"/>
      <c r="F592" s="208"/>
      <c r="G592" s="208"/>
      <c r="H592" s="208"/>
      <c r="I592" s="208"/>
      <c r="J592" s="208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spans="1:26" ht="11.25" customHeight="1">
      <c r="A593" s="337"/>
      <c r="B593" s="204"/>
      <c r="C593" s="206"/>
      <c r="D593" s="207"/>
      <c r="E593" s="208"/>
      <c r="F593" s="208"/>
      <c r="G593" s="208"/>
      <c r="H593" s="208"/>
      <c r="I593" s="208"/>
      <c r="J593" s="208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spans="1:26" ht="11.25" customHeight="1">
      <c r="A594" s="337"/>
      <c r="B594" s="204"/>
      <c r="C594" s="206"/>
      <c r="D594" s="207"/>
      <c r="E594" s="208"/>
      <c r="F594" s="208"/>
      <c r="G594" s="208"/>
      <c r="H594" s="208"/>
      <c r="I594" s="208"/>
      <c r="J594" s="208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spans="1:26" ht="11.25" customHeight="1">
      <c r="A595" s="337"/>
      <c r="B595" s="204"/>
      <c r="C595" s="206"/>
      <c r="D595" s="207"/>
      <c r="E595" s="208"/>
      <c r="F595" s="208"/>
      <c r="G595" s="208"/>
      <c r="H595" s="208"/>
      <c r="I595" s="208"/>
      <c r="J595" s="208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spans="1:26" ht="11.25" customHeight="1">
      <c r="A596" s="337"/>
      <c r="B596" s="204"/>
      <c r="C596" s="206"/>
      <c r="D596" s="207"/>
      <c r="E596" s="208"/>
      <c r="F596" s="208"/>
      <c r="G596" s="208"/>
      <c r="H596" s="208"/>
      <c r="I596" s="208"/>
      <c r="J596" s="208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spans="1:26" ht="11.25" customHeight="1">
      <c r="A597" s="337"/>
      <c r="B597" s="204"/>
      <c r="C597" s="206"/>
      <c r="D597" s="207"/>
      <c r="E597" s="208"/>
      <c r="F597" s="208"/>
      <c r="G597" s="208"/>
      <c r="H597" s="208"/>
      <c r="I597" s="208"/>
      <c r="J597" s="208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spans="1:26" ht="11.25" customHeight="1">
      <c r="A598" s="337"/>
      <c r="B598" s="204"/>
      <c r="C598" s="206"/>
      <c r="D598" s="207"/>
      <c r="E598" s="208"/>
      <c r="F598" s="208"/>
      <c r="G598" s="208"/>
      <c r="H598" s="208"/>
      <c r="I598" s="208"/>
      <c r="J598" s="208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spans="1:26" ht="11.25" customHeight="1">
      <c r="A599" s="337"/>
      <c r="B599" s="204"/>
      <c r="C599" s="206"/>
      <c r="D599" s="207"/>
      <c r="E599" s="208"/>
      <c r="F599" s="208"/>
      <c r="G599" s="208"/>
      <c r="H599" s="208"/>
      <c r="I599" s="208"/>
      <c r="J599" s="208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spans="1:26" ht="11.25" customHeight="1">
      <c r="A600" s="337"/>
      <c r="B600" s="204"/>
      <c r="C600" s="206"/>
      <c r="D600" s="207"/>
      <c r="E600" s="208"/>
      <c r="F600" s="208"/>
      <c r="G600" s="208"/>
      <c r="H600" s="208"/>
      <c r="I600" s="208"/>
      <c r="J600" s="208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spans="1:26" ht="11.25" customHeight="1">
      <c r="A601" s="337"/>
      <c r="B601" s="204"/>
      <c r="C601" s="206"/>
      <c r="D601" s="207"/>
      <c r="E601" s="208"/>
      <c r="F601" s="208"/>
      <c r="G601" s="208"/>
      <c r="H601" s="208"/>
      <c r="I601" s="208"/>
      <c r="J601" s="208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spans="1:26" ht="11.25" customHeight="1">
      <c r="A602" s="337"/>
      <c r="B602" s="204"/>
      <c r="C602" s="206"/>
      <c r="D602" s="207"/>
      <c r="E602" s="208"/>
      <c r="F602" s="208"/>
      <c r="G602" s="208"/>
      <c r="H602" s="208"/>
      <c r="I602" s="208"/>
      <c r="J602" s="208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spans="1:26" ht="11.25" customHeight="1">
      <c r="A603" s="337"/>
      <c r="B603" s="204"/>
      <c r="C603" s="206"/>
      <c r="D603" s="207"/>
      <c r="E603" s="208"/>
      <c r="F603" s="208"/>
      <c r="G603" s="208"/>
      <c r="H603" s="208"/>
      <c r="I603" s="208"/>
      <c r="J603" s="208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spans="1:26" ht="11.25" customHeight="1">
      <c r="A604" s="337"/>
      <c r="B604" s="204"/>
      <c r="C604" s="206"/>
      <c r="D604" s="207"/>
      <c r="E604" s="208"/>
      <c r="F604" s="208"/>
      <c r="G604" s="208"/>
      <c r="H604" s="208"/>
      <c r="I604" s="208"/>
      <c r="J604" s="208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spans="1:26" ht="11.25" customHeight="1">
      <c r="A605" s="337"/>
      <c r="B605" s="204"/>
      <c r="C605" s="206"/>
      <c r="D605" s="207"/>
      <c r="E605" s="208"/>
      <c r="F605" s="208"/>
      <c r="G605" s="208"/>
      <c r="H605" s="208"/>
      <c r="I605" s="208"/>
      <c r="J605" s="208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spans="1:26" ht="11.25" customHeight="1">
      <c r="A606" s="337"/>
      <c r="B606" s="204"/>
      <c r="C606" s="206"/>
      <c r="D606" s="207"/>
      <c r="E606" s="208"/>
      <c r="F606" s="208"/>
      <c r="G606" s="208"/>
      <c r="H606" s="208"/>
      <c r="I606" s="208"/>
      <c r="J606" s="208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spans="1:26" ht="11.25" customHeight="1">
      <c r="A607" s="337"/>
      <c r="B607" s="204"/>
      <c r="C607" s="206"/>
      <c r="D607" s="207"/>
      <c r="E607" s="208"/>
      <c r="F607" s="208"/>
      <c r="G607" s="208"/>
      <c r="H607" s="208"/>
      <c r="I607" s="208"/>
      <c r="J607" s="208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spans="1:26" ht="11.25" customHeight="1">
      <c r="A608" s="337"/>
      <c r="B608" s="204"/>
      <c r="C608" s="206"/>
      <c r="D608" s="207"/>
      <c r="E608" s="208"/>
      <c r="F608" s="208"/>
      <c r="G608" s="208"/>
      <c r="H608" s="208"/>
      <c r="I608" s="208"/>
      <c r="J608" s="208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spans="1:26" ht="11.25" customHeight="1">
      <c r="A609" s="337"/>
      <c r="B609" s="204"/>
      <c r="C609" s="206"/>
      <c r="D609" s="207"/>
      <c r="E609" s="208"/>
      <c r="F609" s="208"/>
      <c r="G609" s="208"/>
      <c r="H609" s="208"/>
      <c r="I609" s="208"/>
      <c r="J609" s="208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spans="1:26" ht="11.25" customHeight="1">
      <c r="A610" s="337"/>
      <c r="B610" s="204"/>
      <c r="C610" s="206"/>
      <c r="D610" s="207"/>
      <c r="E610" s="208"/>
      <c r="F610" s="208"/>
      <c r="G610" s="208"/>
      <c r="H610" s="208"/>
      <c r="I610" s="208"/>
      <c r="J610" s="208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spans="1:26" ht="11.25" customHeight="1">
      <c r="A611" s="337"/>
      <c r="B611" s="204"/>
      <c r="C611" s="206"/>
      <c r="D611" s="207"/>
      <c r="E611" s="208"/>
      <c r="F611" s="208"/>
      <c r="G611" s="208"/>
      <c r="H611" s="208"/>
      <c r="I611" s="208"/>
      <c r="J611" s="208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spans="1:26" ht="11.25" customHeight="1">
      <c r="A612" s="337"/>
      <c r="B612" s="204"/>
      <c r="C612" s="206"/>
      <c r="D612" s="207"/>
      <c r="E612" s="208"/>
      <c r="F612" s="208"/>
      <c r="G612" s="208"/>
      <c r="H612" s="208"/>
      <c r="I612" s="208"/>
      <c r="J612" s="208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spans="1:26" ht="11.25" customHeight="1">
      <c r="A613" s="337"/>
      <c r="B613" s="204"/>
      <c r="C613" s="206"/>
      <c r="D613" s="207"/>
      <c r="E613" s="208"/>
      <c r="F613" s="208"/>
      <c r="G613" s="208"/>
      <c r="H613" s="208"/>
      <c r="I613" s="208"/>
      <c r="J613" s="208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spans="1:26" ht="11.25" customHeight="1">
      <c r="A614" s="337"/>
      <c r="B614" s="204"/>
      <c r="C614" s="206"/>
      <c r="D614" s="207"/>
      <c r="E614" s="208"/>
      <c r="F614" s="208"/>
      <c r="G614" s="208"/>
      <c r="H614" s="208"/>
      <c r="I614" s="208"/>
      <c r="J614" s="208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spans="1:26" ht="11.25" customHeight="1">
      <c r="A615" s="337"/>
      <c r="B615" s="204"/>
      <c r="C615" s="206"/>
      <c r="D615" s="207"/>
      <c r="E615" s="208"/>
      <c r="F615" s="208"/>
      <c r="G615" s="208"/>
      <c r="H615" s="208"/>
      <c r="I615" s="208"/>
      <c r="J615" s="208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spans="1:26" ht="11.25" customHeight="1">
      <c r="A616" s="337"/>
      <c r="B616" s="204"/>
      <c r="C616" s="206"/>
      <c r="D616" s="207"/>
      <c r="E616" s="208"/>
      <c r="F616" s="208"/>
      <c r="G616" s="208"/>
      <c r="H616" s="208"/>
      <c r="I616" s="208"/>
      <c r="J616" s="208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spans="1:26" ht="11.25" customHeight="1">
      <c r="A617" s="337"/>
      <c r="B617" s="204"/>
      <c r="C617" s="206"/>
      <c r="D617" s="207"/>
      <c r="E617" s="208"/>
      <c r="F617" s="208"/>
      <c r="G617" s="208"/>
      <c r="H617" s="208"/>
      <c r="I617" s="208"/>
      <c r="J617" s="208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spans="1:26" ht="11.25" customHeight="1">
      <c r="A618" s="337"/>
      <c r="B618" s="204"/>
      <c r="C618" s="206"/>
      <c r="D618" s="207"/>
      <c r="E618" s="208"/>
      <c r="F618" s="208"/>
      <c r="G618" s="208"/>
      <c r="H618" s="208"/>
      <c r="I618" s="208"/>
      <c r="J618" s="208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spans="1:26" ht="11.25" customHeight="1">
      <c r="A619" s="337"/>
      <c r="B619" s="204"/>
      <c r="C619" s="206"/>
      <c r="D619" s="207"/>
      <c r="E619" s="208"/>
      <c r="F619" s="208"/>
      <c r="G619" s="208"/>
      <c r="H619" s="208"/>
      <c r="I619" s="208"/>
      <c r="J619" s="208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spans="1:26" ht="11.25" customHeight="1">
      <c r="A620" s="337"/>
      <c r="B620" s="204"/>
      <c r="C620" s="206"/>
      <c r="D620" s="207"/>
      <c r="E620" s="208"/>
      <c r="F620" s="208"/>
      <c r="G620" s="208"/>
      <c r="H620" s="208"/>
      <c r="I620" s="208"/>
      <c r="J620" s="208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spans="1:26" ht="11.25" customHeight="1">
      <c r="A621" s="337"/>
      <c r="B621" s="204"/>
      <c r="C621" s="206"/>
      <c r="D621" s="207"/>
      <c r="E621" s="208"/>
      <c r="F621" s="208"/>
      <c r="G621" s="208"/>
      <c r="H621" s="208"/>
      <c r="I621" s="208"/>
      <c r="J621" s="208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spans="1:26" ht="11.25" customHeight="1">
      <c r="A622" s="337"/>
      <c r="B622" s="204"/>
      <c r="C622" s="206"/>
      <c r="D622" s="207"/>
      <c r="E622" s="208"/>
      <c r="F622" s="208"/>
      <c r="G622" s="208"/>
      <c r="H622" s="208"/>
      <c r="I622" s="208"/>
      <c r="J622" s="208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spans="1:26" ht="11.25" customHeight="1">
      <c r="A623" s="337"/>
      <c r="B623" s="204"/>
      <c r="C623" s="206"/>
      <c r="D623" s="207"/>
      <c r="E623" s="208"/>
      <c r="F623" s="208"/>
      <c r="G623" s="208"/>
      <c r="H623" s="208"/>
      <c r="I623" s="208"/>
      <c r="J623" s="208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spans="1:26" ht="11.25" customHeight="1">
      <c r="A624" s="337"/>
      <c r="B624" s="204"/>
      <c r="C624" s="206"/>
      <c r="D624" s="207"/>
      <c r="E624" s="208"/>
      <c r="F624" s="208"/>
      <c r="G624" s="208"/>
      <c r="H624" s="208"/>
      <c r="I624" s="208"/>
      <c r="J624" s="208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spans="1:26" ht="11.25" customHeight="1">
      <c r="A625" s="337"/>
      <c r="B625" s="204"/>
      <c r="C625" s="206"/>
      <c r="D625" s="207"/>
      <c r="E625" s="208"/>
      <c r="F625" s="208"/>
      <c r="G625" s="208"/>
      <c r="H625" s="208"/>
      <c r="I625" s="208"/>
      <c r="J625" s="208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spans="1:26" ht="11.25" customHeight="1">
      <c r="A626" s="337"/>
      <c r="B626" s="204"/>
      <c r="C626" s="206"/>
      <c r="D626" s="207"/>
      <c r="E626" s="208"/>
      <c r="F626" s="208"/>
      <c r="G626" s="208"/>
      <c r="H626" s="208"/>
      <c r="I626" s="208"/>
      <c r="J626" s="208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spans="1:26" ht="11.25" customHeight="1">
      <c r="A627" s="337"/>
      <c r="B627" s="204"/>
      <c r="C627" s="206"/>
      <c r="D627" s="207"/>
      <c r="E627" s="208"/>
      <c r="F627" s="208"/>
      <c r="G627" s="208"/>
      <c r="H627" s="208"/>
      <c r="I627" s="208"/>
      <c r="J627" s="208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spans="1:26" ht="11.25" customHeight="1">
      <c r="A628" s="337"/>
      <c r="B628" s="204"/>
      <c r="C628" s="206"/>
      <c r="D628" s="207"/>
      <c r="E628" s="208"/>
      <c r="F628" s="208"/>
      <c r="G628" s="208"/>
      <c r="H628" s="208"/>
      <c r="I628" s="208"/>
      <c r="J628" s="208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spans="1:26" ht="11.25" customHeight="1">
      <c r="A629" s="337"/>
      <c r="B629" s="204"/>
      <c r="C629" s="206"/>
      <c r="D629" s="207"/>
      <c r="E629" s="208"/>
      <c r="F629" s="208"/>
      <c r="G629" s="208"/>
      <c r="H629" s="208"/>
      <c r="I629" s="208"/>
      <c r="J629" s="208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spans="1:26" ht="11.25" customHeight="1">
      <c r="A630" s="337"/>
      <c r="B630" s="204"/>
      <c r="C630" s="206"/>
      <c r="D630" s="207"/>
      <c r="E630" s="208"/>
      <c r="F630" s="208"/>
      <c r="G630" s="208"/>
      <c r="H630" s="208"/>
      <c r="I630" s="208"/>
      <c r="J630" s="208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spans="1:26" ht="11.25" customHeight="1">
      <c r="A631" s="337"/>
      <c r="B631" s="204"/>
      <c r="C631" s="206"/>
      <c r="D631" s="207"/>
      <c r="E631" s="208"/>
      <c r="F631" s="208"/>
      <c r="G631" s="208"/>
      <c r="H631" s="208"/>
      <c r="I631" s="208"/>
      <c r="J631" s="208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spans="1:26" ht="11.25" customHeight="1">
      <c r="A632" s="337"/>
      <c r="B632" s="204"/>
      <c r="C632" s="206"/>
      <c r="D632" s="207"/>
      <c r="E632" s="208"/>
      <c r="F632" s="208"/>
      <c r="G632" s="208"/>
      <c r="H632" s="208"/>
      <c r="I632" s="208"/>
      <c r="J632" s="208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spans="1:26" ht="11.25" customHeight="1">
      <c r="A633" s="337"/>
      <c r="B633" s="204"/>
      <c r="C633" s="206"/>
      <c r="D633" s="207"/>
      <c r="E633" s="208"/>
      <c r="F633" s="208"/>
      <c r="G633" s="208"/>
      <c r="H633" s="208"/>
      <c r="I633" s="208"/>
      <c r="J633" s="208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spans="1:26" ht="11.25" customHeight="1">
      <c r="A634" s="337"/>
      <c r="B634" s="204"/>
      <c r="C634" s="206"/>
      <c r="D634" s="207"/>
      <c r="E634" s="208"/>
      <c r="F634" s="208"/>
      <c r="G634" s="208"/>
      <c r="H634" s="208"/>
      <c r="I634" s="208"/>
      <c r="J634" s="208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spans="1:26" ht="11.25" customHeight="1">
      <c r="A635" s="337"/>
      <c r="B635" s="204"/>
      <c r="C635" s="206"/>
      <c r="D635" s="207"/>
      <c r="E635" s="208"/>
      <c r="F635" s="208"/>
      <c r="G635" s="208"/>
      <c r="H635" s="208"/>
      <c r="I635" s="208"/>
      <c r="J635" s="208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spans="1:26" ht="11.25" customHeight="1">
      <c r="A636" s="337"/>
      <c r="B636" s="204"/>
      <c r="C636" s="206"/>
      <c r="D636" s="207"/>
      <c r="E636" s="208"/>
      <c r="F636" s="208"/>
      <c r="G636" s="208"/>
      <c r="H636" s="208"/>
      <c r="I636" s="208"/>
      <c r="J636" s="208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spans="1:26" ht="11.25" customHeight="1">
      <c r="A637" s="337"/>
      <c r="B637" s="204"/>
      <c r="C637" s="206"/>
      <c r="D637" s="207"/>
      <c r="E637" s="208"/>
      <c r="F637" s="208"/>
      <c r="G637" s="208"/>
      <c r="H637" s="208"/>
      <c r="I637" s="208"/>
      <c r="J637" s="208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spans="1:26" ht="11.25" customHeight="1">
      <c r="A638" s="337"/>
      <c r="B638" s="204"/>
      <c r="C638" s="206"/>
      <c r="D638" s="207"/>
      <c r="E638" s="208"/>
      <c r="F638" s="208"/>
      <c r="G638" s="208"/>
      <c r="H638" s="208"/>
      <c r="I638" s="208"/>
      <c r="J638" s="208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spans="1:26" ht="11.25" customHeight="1">
      <c r="A639" s="337"/>
      <c r="B639" s="204"/>
      <c r="C639" s="206"/>
      <c r="D639" s="207"/>
      <c r="E639" s="208"/>
      <c r="F639" s="208"/>
      <c r="G639" s="208"/>
      <c r="H639" s="208"/>
      <c r="I639" s="208"/>
      <c r="J639" s="208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spans="1:26" ht="11.25" customHeight="1">
      <c r="A640" s="337"/>
      <c r="B640" s="204"/>
      <c r="C640" s="206"/>
      <c r="D640" s="207"/>
      <c r="E640" s="208"/>
      <c r="F640" s="208"/>
      <c r="G640" s="208"/>
      <c r="H640" s="208"/>
      <c r="I640" s="208"/>
      <c r="J640" s="208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spans="1:26" ht="11.25" customHeight="1">
      <c r="A641" s="337"/>
      <c r="B641" s="204"/>
      <c r="C641" s="206"/>
      <c r="D641" s="207"/>
      <c r="E641" s="208"/>
      <c r="F641" s="208"/>
      <c r="G641" s="208"/>
      <c r="H641" s="208"/>
      <c r="I641" s="208"/>
      <c r="J641" s="208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spans="1:26" ht="11.25" customHeight="1">
      <c r="A642" s="337"/>
      <c r="B642" s="204"/>
      <c r="C642" s="206"/>
      <c r="D642" s="207"/>
      <c r="E642" s="208"/>
      <c r="F642" s="208"/>
      <c r="G642" s="208"/>
      <c r="H642" s="208"/>
      <c r="I642" s="208"/>
      <c r="J642" s="208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spans="1:26" ht="11.25" customHeight="1">
      <c r="A643" s="337"/>
      <c r="B643" s="204"/>
      <c r="C643" s="206"/>
      <c r="D643" s="207"/>
      <c r="E643" s="208"/>
      <c r="F643" s="208"/>
      <c r="G643" s="208"/>
      <c r="H643" s="208"/>
      <c r="I643" s="208"/>
      <c r="J643" s="208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spans="1:26" ht="11.25" customHeight="1">
      <c r="A644" s="337"/>
      <c r="B644" s="204"/>
      <c r="C644" s="206"/>
      <c r="D644" s="207"/>
      <c r="E644" s="208"/>
      <c r="F644" s="208"/>
      <c r="G644" s="208"/>
      <c r="H644" s="208"/>
      <c r="I644" s="208"/>
      <c r="J644" s="208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spans="1:26" ht="11.25" customHeight="1">
      <c r="A645" s="337"/>
      <c r="B645" s="204"/>
      <c r="C645" s="206"/>
      <c r="D645" s="207"/>
      <c r="E645" s="208"/>
      <c r="F645" s="208"/>
      <c r="G645" s="208"/>
      <c r="H645" s="208"/>
      <c r="I645" s="208"/>
      <c r="J645" s="208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spans="1:26" ht="11.25" customHeight="1">
      <c r="A646" s="337"/>
      <c r="B646" s="204"/>
      <c r="C646" s="206"/>
      <c r="D646" s="207"/>
      <c r="E646" s="208"/>
      <c r="F646" s="208"/>
      <c r="G646" s="208"/>
      <c r="H646" s="208"/>
      <c r="I646" s="208"/>
      <c r="J646" s="208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spans="1:26" ht="11.25" customHeight="1">
      <c r="A647" s="337"/>
      <c r="B647" s="204"/>
      <c r="C647" s="206"/>
      <c r="D647" s="207"/>
      <c r="E647" s="208"/>
      <c r="F647" s="208"/>
      <c r="G647" s="208"/>
      <c r="H647" s="208"/>
      <c r="I647" s="208"/>
      <c r="J647" s="208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spans="1:26" ht="11.25" customHeight="1">
      <c r="A648" s="337"/>
      <c r="B648" s="204"/>
      <c r="C648" s="206"/>
      <c r="D648" s="207"/>
      <c r="E648" s="208"/>
      <c r="F648" s="208"/>
      <c r="G648" s="208"/>
      <c r="H648" s="208"/>
      <c r="I648" s="208"/>
      <c r="J648" s="208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spans="1:26" ht="11.25" customHeight="1">
      <c r="A649" s="337"/>
      <c r="B649" s="204"/>
      <c r="C649" s="206"/>
      <c r="D649" s="207"/>
      <c r="E649" s="208"/>
      <c r="F649" s="208"/>
      <c r="G649" s="208"/>
      <c r="H649" s="208"/>
      <c r="I649" s="208"/>
      <c r="J649" s="208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spans="1:26" ht="11.25" customHeight="1">
      <c r="A650" s="337"/>
      <c r="B650" s="204"/>
      <c r="C650" s="206"/>
      <c r="D650" s="207"/>
      <c r="E650" s="208"/>
      <c r="F650" s="208"/>
      <c r="G650" s="208"/>
      <c r="H650" s="208"/>
      <c r="I650" s="208"/>
      <c r="J650" s="208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spans="1:26" ht="11.25" customHeight="1">
      <c r="A651" s="337"/>
      <c r="B651" s="204"/>
      <c r="C651" s="206"/>
      <c r="D651" s="207"/>
      <c r="E651" s="208"/>
      <c r="F651" s="208"/>
      <c r="G651" s="208"/>
      <c r="H651" s="208"/>
      <c r="I651" s="208"/>
      <c r="J651" s="208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spans="1:26" ht="11.25" customHeight="1">
      <c r="A652" s="337"/>
      <c r="B652" s="204"/>
      <c r="C652" s="206"/>
      <c r="D652" s="207"/>
      <c r="E652" s="208"/>
      <c r="F652" s="208"/>
      <c r="G652" s="208"/>
      <c r="H652" s="208"/>
      <c r="I652" s="208"/>
      <c r="J652" s="208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spans="1:26" ht="11.25" customHeight="1">
      <c r="A653" s="337"/>
      <c r="B653" s="204"/>
      <c r="C653" s="206"/>
      <c r="D653" s="207"/>
      <c r="E653" s="208"/>
      <c r="F653" s="208"/>
      <c r="G653" s="208"/>
      <c r="H653" s="208"/>
      <c r="I653" s="208"/>
      <c r="J653" s="208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spans="1:26" ht="11.25" customHeight="1">
      <c r="A654" s="337"/>
      <c r="B654" s="204"/>
      <c r="C654" s="206"/>
      <c r="D654" s="207"/>
      <c r="E654" s="208"/>
      <c r="F654" s="208"/>
      <c r="G654" s="208"/>
      <c r="H654" s="208"/>
      <c r="I654" s="208"/>
      <c r="J654" s="208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spans="1:26" ht="11.25" customHeight="1">
      <c r="A655" s="337"/>
      <c r="B655" s="204"/>
      <c r="C655" s="206"/>
      <c r="D655" s="207"/>
      <c r="E655" s="208"/>
      <c r="F655" s="208"/>
      <c r="G655" s="208"/>
      <c r="H655" s="208"/>
      <c r="I655" s="208"/>
      <c r="J655" s="208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spans="1:26" ht="11.25" customHeight="1">
      <c r="A656" s="337"/>
      <c r="B656" s="204"/>
      <c r="C656" s="206"/>
      <c r="D656" s="207"/>
      <c r="E656" s="208"/>
      <c r="F656" s="208"/>
      <c r="G656" s="208"/>
      <c r="H656" s="208"/>
      <c r="I656" s="208"/>
      <c r="J656" s="208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spans="1:26" ht="11.25" customHeight="1">
      <c r="A657" s="337"/>
      <c r="B657" s="204"/>
      <c r="C657" s="206"/>
      <c r="D657" s="207"/>
      <c r="E657" s="208"/>
      <c r="F657" s="208"/>
      <c r="G657" s="208"/>
      <c r="H657" s="208"/>
      <c r="I657" s="208"/>
      <c r="J657" s="208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spans="1:26" ht="11.25" customHeight="1">
      <c r="A658" s="337"/>
      <c r="B658" s="204"/>
      <c r="C658" s="206"/>
      <c r="D658" s="207"/>
      <c r="E658" s="208"/>
      <c r="F658" s="208"/>
      <c r="G658" s="208"/>
      <c r="H658" s="208"/>
      <c r="I658" s="208"/>
      <c r="J658" s="208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spans="1:26" ht="11.25" customHeight="1">
      <c r="A659" s="337"/>
      <c r="B659" s="204"/>
      <c r="C659" s="206"/>
      <c r="D659" s="207"/>
      <c r="E659" s="208"/>
      <c r="F659" s="208"/>
      <c r="G659" s="208"/>
      <c r="H659" s="208"/>
      <c r="I659" s="208"/>
      <c r="J659" s="208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spans="1:26" ht="11.25" customHeight="1">
      <c r="A660" s="337"/>
      <c r="B660" s="204"/>
      <c r="C660" s="206"/>
      <c r="D660" s="207"/>
      <c r="E660" s="208"/>
      <c r="F660" s="208"/>
      <c r="G660" s="208"/>
      <c r="H660" s="208"/>
      <c r="I660" s="208"/>
      <c r="J660" s="208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spans="1:26" ht="11.25" customHeight="1">
      <c r="A661" s="337"/>
      <c r="B661" s="204"/>
      <c r="C661" s="206"/>
      <c r="D661" s="207"/>
      <c r="E661" s="208"/>
      <c r="F661" s="208"/>
      <c r="G661" s="208"/>
      <c r="H661" s="208"/>
      <c r="I661" s="208"/>
      <c r="J661" s="208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spans="1:26" ht="11.25" customHeight="1">
      <c r="A662" s="337"/>
      <c r="B662" s="204"/>
      <c r="C662" s="206"/>
      <c r="D662" s="207"/>
      <c r="E662" s="208"/>
      <c r="F662" s="208"/>
      <c r="G662" s="208"/>
      <c r="H662" s="208"/>
      <c r="I662" s="208"/>
      <c r="J662" s="208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spans="1:26" ht="11.25" customHeight="1">
      <c r="A663" s="337"/>
      <c r="B663" s="204"/>
      <c r="C663" s="206"/>
      <c r="D663" s="207"/>
      <c r="E663" s="208"/>
      <c r="F663" s="208"/>
      <c r="G663" s="208"/>
      <c r="H663" s="208"/>
      <c r="I663" s="208"/>
      <c r="J663" s="208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spans="1:26" ht="11.25" customHeight="1">
      <c r="A664" s="337"/>
      <c r="B664" s="204"/>
      <c r="C664" s="206"/>
      <c r="D664" s="207"/>
      <c r="E664" s="208"/>
      <c r="F664" s="208"/>
      <c r="G664" s="208"/>
      <c r="H664" s="208"/>
      <c r="I664" s="208"/>
      <c r="J664" s="208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spans="1:26" ht="11.25" customHeight="1">
      <c r="A665" s="337"/>
      <c r="B665" s="204"/>
      <c r="C665" s="206"/>
      <c r="D665" s="207"/>
      <c r="E665" s="208"/>
      <c r="F665" s="208"/>
      <c r="G665" s="208"/>
      <c r="H665" s="208"/>
      <c r="I665" s="208"/>
      <c r="J665" s="208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spans="1:26" ht="11.25" customHeight="1">
      <c r="A666" s="337"/>
      <c r="B666" s="204"/>
      <c r="C666" s="206"/>
      <c r="D666" s="207"/>
      <c r="E666" s="208"/>
      <c r="F666" s="208"/>
      <c r="G666" s="208"/>
      <c r="H666" s="208"/>
      <c r="I666" s="208"/>
      <c r="J666" s="208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spans="1:26" ht="11.25" customHeight="1">
      <c r="A667" s="337"/>
      <c r="B667" s="204"/>
      <c r="C667" s="206"/>
      <c r="D667" s="207"/>
      <c r="E667" s="208"/>
      <c r="F667" s="208"/>
      <c r="G667" s="208"/>
      <c r="H667" s="208"/>
      <c r="I667" s="208"/>
      <c r="J667" s="208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spans="1:26" ht="11.25" customHeight="1">
      <c r="A668" s="337"/>
      <c r="B668" s="204"/>
      <c r="C668" s="206"/>
      <c r="D668" s="207"/>
      <c r="E668" s="208"/>
      <c r="F668" s="208"/>
      <c r="G668" s="208"/>
      <c r="H668" s="208"/>
      <c r="I668" s="208"/>
      <c r="J668" s="208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spans="1:26" ht="11.25" customHeight="1">
      <c r="A669" s="337"/>
      <c r="B669" s="204"/>
      <c r="C669" s="206"/>
      <c r="D669" s="207"/>
      <c r="E669" s="208"/>
      <c r="F669" s="208"/>
      <c r="G669" s="208"/>
      <c r="H669" s="208"/>
      <c r="I669" s="208"/>
      <c r="J669" s="208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spans="1:26" ht="11.25" customHeight="1">
      <c r="A670" s="337"/>
      <c r="B670" s="204"/>
      <c r="C670" s="206"/>
      <c r="D670" s="207"/>
      <c r="E670" s="208"/>
      <c r="F670" s="208"/>
      <c r="G670" s="208"/>
      <c r="H670" s="208"/>
      <c r="I670" s="208"/>
      <c r="J670" s="208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spans="1:26" ht="11.25" customHeight="1">
      <c r="A671" s="337"/>
      <c r="B671" s="204"/>
      <c r="C671" s="206"/>
      <c r="D671" s="207"/>
      <c r="E671" s="208"/>
      <c r="F671" s="208"/>
      <c r="G671" s="208"/>
      <c r="H671" s="208"/>
      <c r="I671" s="208"/>
      <c r="J671" s="208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spans="1:26" ht="11.25" customHeight="1">
      <c r="A672" s="337"/>
      <c r="B672" s="204"/>
      <c r="C672" s="206"/>
      <c r="D672" s="207"/>
      <c r="E672" s="208"/>
      <c r="F672" s="208"/>
      <c r="G672" s="208"/>
      <c r="H672" s="208"/>
      <c r="I672" s="208"/>
      <c r="J672" s="208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spans="1:26" ht="11.25" customHeight="1">
      <c r="A673" s="337"/>
      <c r="B673" s="204"/>
      <c r="C673" s="206"/>
      <c r="D673" s="207"/>
      <c r="E673" s="208"/>
      <c r="F673" s="208"/>
      <c r="G673" s="208"/>
      <c r="H673" s="208"/>
      <c r="I673" s="208"/>
      <c r="J673" s="208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spans="1:26" ht="11.25" customHeight="1">
      <c r="A674" s="337"/>
      <c r="B674" s="204"/>
      <c r="C674" s="206"/>
      <c r="D674" s="207"/>
      <c r="E674" s="208"/>
      <c r="F674" s="208"/>
      <c r="G674" s="208"/>
      <c r="H674" s="208"/>
      <c r="I674" s="208"/>
      <c r="J674" s="208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spans="1:26" ht="11.25" customHeight="1">
      <c r="A675" s="337"/>
      <c r="B675" s="204"/>
      <c r="C675" s="206"/>
      <c r="D675" s="207"/>
      <c r="E675" s="208"/>
      <c r="F675" s="208"/>
      <c r="G675" s="208"/>
      <c r="H675" s="208"/>
      <c r="I675" s="208"/>
      <c r="J675" s="208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spans="1:26" ht="11.25" customHeight="1">
      <c r="A676" s="337"/>
      <c r="B676" s="204"/>
      <c r="C676" s="206"/>
      <c r="D676" s="207"/>
      <c r="E676" s="208"/>
      <c r="F676" s="208"/>
      <c r="G676" s="208"/>
      <c r="H676" s="208"/>
      <c r="I676" s="208"/>
      <c r="J676" s="208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spans="1:26" ht="11.25" customHeight="1">
      <c r="A677" s="337"/>
      <c r="B677" s="204"/>
      <c r="C677" s="206"/>
      <c r="D677" s="207"/>
      <c r="E677" s="208"/>
      <c r="F677" s="208"/>
      <c r="G677" s="208"/>
      <c r="H677" s="208"/>
      <c r="I677" s="208"/>
      <c r="J677" s="208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spans="1:26" ht="11.25" customHeight="1">
      <c r="A678" s="337"/>
      <c r="B678" s="204"/>
      <c r="C678" s="206"/>
      <c r="D678" s="207"/>
      <c r="E678" s="208"/>
      <c r="F678" s="208"/>
      <c r="G678" s="208"/>
      <c r="H678" s="208"/>
      <c r="I678" s="208"/>
      <c r="J678" s="208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spans="1:26" ht="11.25" customHeight="1">
      <c r="A679" s="337"/>
      <c r="B679" s="204"/>
      <c r="C679" s="206"/>
      <c r="D679" s="207"/>
      <c r="E679" s="208"/>
      <c r="F679" s="208"/>
      <c r="G679" s="208"/>
      <c r="H679" s="208"/>
      <c r="I679" s="208"/>
      <c r="J679" s="208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spans="1:26" ht="11.25" customHeight="1">
      <c r="A680" s="337"/>
      <c r="B680" s="204"/>
      <c r="C680" s="206"/>
      <c r="D680" s="207"/>
      <c r="E680" s="208"/>
      <c r="F680" s="208"/>
      <c r="G680" s="208"/>
      <c r="H680" s="208"/>
      <c r="I680" s="208"/>
      <c r="J680" s="208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spans="1:26" ht="11.25" customHeight="1">
      <c r="A681" s="337"/>
      <c r="B681" s="204"/>
      <c r="C681" s="206"/>
      <c r="D681" s="207"/>
      <c r="E681" s="208"/>
      <c r="F681" s="208"/>
      <c r="G681" s="208"/>
      <c r="H681" s="208"/>
      <c r="I681" s="208"/>
      <c r="J681" s="208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spans="1:26" ht="11.25" customHeight="1">
      <c r="A682" s="337"/>
      <c r="B682" s="204"/>
      <c r="C682" s="206"/>
      <c r="D682" s="207"/>
      <c r="E682" s="208"/>
      <c r="F682" s="208"/>
      <c r="G682" s="208"/>
      <c r="H682" s="208"/>
      <c r="I682" s="208"/>
      <c r="J682" s="208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spans="1:26" ht="11.25" customHeight="1">
      <c r="A683" s="337"/>
      <c r="B683" s="204"/>
      <c r="C683" s="206"/>
      <c r="D683" s="207"/>
      <c r="E683" s="208"/>
      <c r="F683" s="208"/>
      <c r="G683" s="208"/>
      <c r="H683" s="208"/>
      <c r="I683" s="208"/>
      <c r="J683" s="208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spans="1:26" ht="11.25" customHeight="1">
      <c r="A684" s="337"/>
      <c r="B684" s="204"/>
      <c r="C684" s="206"/>
      <c r="D684" s="207"/>
      <c r="E684" s="208"/>
      <c r="F684" s="208"/>
      <c r="G684" s="208"/>
      <c r="H684" s="208"/>
      <c r="I684" s="208"/>
      <c r="J684" s="208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spans="1:26" ht="11.25" customHeight="1">
      <c r="A685" s="337"/>
      <c r="B685" s="204"/>
      <c r="C685" s="206"/>
      <c r="D685" s="207"/>
      <c r="E685" s="208"/>
      <c r="F685" s="208"/>
      <c r="G685" s="208"/>
      <c r="H685" s="208"/>
      <c r="I685" s="208"/>
      <c r="J685" s="208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spans="1:26" ht="11.25" customHeight="1">
      <c r="A686" s="337"/>
      <c r="B686" s="204"/>
      <c r="C686" s="206"/>
      <c r="D686" s="207"/>
      <c r="E686" s="208"/>
      <c r="F686" s="208"/>
      <c r="G686" s="208"/>
      <c r="H686" s="208"/>
      <c r="I686" s="208"/>
      <c r="J686" s="208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spans="1:26" ht="11.25" customHeight="1">
      <c r="A687" s="337"/>
      <c r="B687" s="204"/>
      <c r="C687" s="206"/>
      <c r="D687" s="207"/>
      <c r="E687" s="208"/>
      <c r="F687" s="208"/>
      <c r="G687" s="208"/>
      <c r="H687" s="208"/>
      <c r="I687" s="208"/>
      <c r="J687" s="208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spans="1:26" ht="11.25" customHeight="1">
      <c r="A688" s="337"/>
      <c r="B688" s="204"/>
      <c r="C688" s="206"/>
      <c r="D688" s="207"/>
      <c r="E688" s="208"/>
      <c r="F688" s="208"/>
      <c r="G688" s="208"/>
      <c r="H688" s="208"/>
      <c r="I688" s="208"/>
      <c r="J688" s="208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spans="1:26" ht="11.25" customHeight="1">
      <c r="A689" s="337"/>
      <c r="B689" s="204"/>
      <c r="C689" s="206"/>
      <c r="D689" s="207"/>
      <c r="E689" s="208"/>
      <c r="F689" s="208"/>
      <c r="G689" s="208"/>
      <c r="H689" s="208"/>
      <c r="I689" s="208"/>
      <c r="J689" s="208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spans="1:26" ht="11.25" customHeight="1">
      <c r="A690" s="337"/>
      <c r="B690" s="204"/>
      <c r="C690" s="206"/>
      <c r="D690" s="207"/>
      <c r="E690" s="208"/>
      <c r="F690" s="208"/>
      <c r="G690" s="208"/>
      <c r="H690" s="208"/>
      <c r="I690" s="208"/>
      <c r="J690" s="208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spans="1:26" ht="11.25" customHeight="1">
      <c r="A691" s="337"/>
      <c r="B691" s="204"/>
      <c r="C691" s="206"/>
      <c r="D691" s="207"/>
      <c r="E691" s="208"/>
      <c r="F691" s="208"/>
      <c r="G691" s="208"/>
      <c r="H691" s="208"/>
      <c r="I691" s="208"/>
      <c r="J691" s="208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spans="1:26" ht="11.25" customHeight="1">
      <c r="A692" s="337"/>
      <c r="B692" s="204"/>
      <c r="C692" s="206"/>
      <c r="D692" s="207"/>
      <c r="E692" s="208"/>
      <c r="F692" s="208"/>
      <c r="G692" s="208"/>
      <c r="H692" s="208"/>
      <c r="I692" s="208"/>
      <c r="J692" s="208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spans="1:26" ht="11.25" customHeight="1">
      <c r="A693" s="337"/>
      <c r="B693" s="204"/>
      <c r="C693" s="206"/>
      <c r="D693" s="207"/>
      <c r="E693" s="208"/>
      <c r="F693" s="208"/>
      <c r="G693" s="208"/>
      <c r="H693" s="208"/>
      <c r="I693" s="208"/>
      <c r="J693" s="208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spans="1:26" ht="11.25" customHeight="1">
      <c r="A694" s="337"/>
      <c r="B694" s="204"/>
      <c r="C694" s="206"/>
      <c r="D694" s="207"/>
      <c r="E694" s="208"/>
      <c r="F694" s="208"/>
      <c r="G694" s="208"/>
      <c r="H694" s="208"/>
      <c r="I694" s="208"/>
      <c r="J694" s="208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spans="1:26" ht="11.25" customHeight="1">
      <c r="A695" s="337"/>
      <c r="B695" s="204"/>
      <c r="C695" s="206"/>
      <c r="D695" s="207"/>
      <c r="E695" s="208"/>
      <c r="F695" s="208"/>
      <c r="G695" s="208"/>
      <c r="H695" s="208"/>
      <c r="I695" s="208"/>
      <c r="J695" s="208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spans="1:26" ht="11.25" customHeight="1">
      <c r="A696" s="337"/>
      <c r="B696" s="204"/>
      <c r="C696" s="206"/>
      <c r="D696" s="207"/>
      <c r="E696" s="208"/>
      <c r="F696" s="208"/>
      <c r="G696" s="208"/>
      <c r="H696" s="208"/>
      <c r="I696" s="208"/>
      <c r="J696" s="208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spans="1:26" ht="11.25" customHeight="1">
      <c r="A697" s="337"/>
      <c r="B697" s="204"/>
      <c r="C697" s="206"/>
      <c r="D697" s="207"/>
      <c r="E697" s="208"/>
      <c r="F697" s="208"/>
      <c r="G697" s="208"/>
      <c r="H697" s="208"/>
      <c r="I697" s="208"/>
      <c r="J697" s="208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spans="1:26" ht="11.25" customHeight="1">
      <c r="A698" s="337"/>
      <c r="B698" s="204"/>
      <c r="C698" s="206"/>
      <c r="D698" s="207"/>
      <c r="E698" s="208"/>
      <c r="F698" s="208"/>
      <c r="G698" s="208"/>
      <c r="H698" s="208"/>
      <c r="I698" s="208"/>
      <c r="J698" s="208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spans="1:26" ht="11.25" customHeight="1">
      <c r="A699" s="337"/>
      <c r="B699" s="204"/>
      <c r="C699" s="206"/>
      <c r="D699" s="207"/>
      <c r="E699" s="208"/>
      <c r="F699" s="208"/>
      <c r="G699" s="208"/>
      <c r="H699" s="208"/>
      <c r="I699" s="208"/>
      <c r="J699" s="208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spans="1:26" ht="11.25" customHeight="1">
      <c r="A700" s="337"/>
      <c r="B700" s="204"/>
      <c r="C700" s="206"/>
      <c r="D700" s="207"/>
      <c r="E700" s="208"/>
      <c r="F700" s="208"/>
      <c r="G700" s="208"/>
      <c r="H700" s="208"/>
      <c r="I700" s="208"/>
      <c r="J700" s="208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spans="1:26" ht="11.25" customHeight="1">
      <c r="A701" s="337"/>
      <c r="B701" s="204"/>
      <c r="C701" s="206"/>
      <c r="D701" s="207"/>
      <c r="E701" s="208"/>
      <c r="F701" s="208"/>
      <c r="G701" s="208"/>
      <c r="H701" s="208"/>
      <c r="I701" s="208"/>
      <c r="J701" s="208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spans="1:26" ht="11.25" customHeight="1">
      <c r="A702" s="337"/>
      <c r="B702" s="204"/>
      <c r="C702" s="206"/>
      <c r="D702" s="207"/>
      <c r="E702" s="208"/>
      <c r="F702" s="208"/>
      <c r="G702" s="208"/>
      <c r="H702" s="208"/>
      <c r="I702" s="208"/>
      <c r="J702" s="208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spans="1:26" ht="11.25" customHeight="1">
      <c r="A703" s="337"/>
      <c r="B703" s="204"/>
      <c r="C703" s="206"/>
      <c r="D703" s="207"/>
      <c r="E703" s="208"/>
      <c r="F703" s="208"/>
      <c r="G703" s="208"/>
      <c r="H703" s="208"/>
      <c r="I703" s="208"/>
      <c r="J703" s="208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spans="1:26" ht="11.25" customHeight="1">
      <c r="A704" s="337"/>
      <c r="B704" s="204"/>
      <c r="C704" s="206"/>
      <c r="D704" s="207"/>
      <c r="E704" s="208"/>
      <c r="F704" s="208"/>
      <c r="G704" s="208"/>
      <c r="H704" s="208"/>
      <c r="I704" s="208"/>
      <c r="J704" s="208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spans="1:26" ht="11.25" customHeight="1">
      <c r="A705" s="337"/>
      <c r="B705" s="204"/>
      <c r="C705" s="206"/>
      <c r="D705" s="207"/>
      <c r="E705" s="208"/>
      <c r="F705" s="208"/>
      <c r="G705" s="208"/>
      <c r="H705" s="208"/>
      <c r="I705" s="208"/>
      <c r="J705" s="208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spans="1:26" ht="11.25" customHeight="1">
      <c r="A706" s="337"/>
      <c r="B706" s="204"/>
      <c r="C706" s="206"/>
      <c r="D706" s="207"/>
      <c r="E706" s="208"/>
      <c r="F706" s="208"/>
      <c r="G706" s="208"/>
      <c r="H706" s="208"/>
      <c r="I706" s="208"/>
      <c r="J706" s="208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spans="1:26" ht="11.25" customHeight="1">
      <c r="A707" s="337"/>
      <c r="B707" s="204"/>
      <c r="C707" s="206"/>
      <c r="D707" s="207"/>
      <c r="E707" s="208"/>
      <c r="F707" s="208"/>
      <c r="G707" s="208"/>
      <c r="H707" s="208"/>
      <c r="I707" s="208"/>
      <c r="J707" s="208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spans="1:26" ht="11.25" customHeight="1">
      <c r="A708" s="337"/>
      <c r="B708" s="204"/>
      <c r="C708" s="206"/>
      <c r="D708" s="207"/>
      <c r="E708" s="208"/>
      <c r="F708" s="208"/>
      <c r="G708" s="208"/>
      <c r="H708" s="208"/>
      <c r="I708" s="208"/>
      <c r="J708" s="208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spans="1:26" ht="11.25" customHeight="1">
      <c r="A709" s="337"/>
      <c r="B709" s="204"/>
      <c r="C709" s="206"/>
      <c r="D709" s="207"/>
      <c r="E709" s="208"/>
      <c r="F709" s="208"/>
      <c r="G709" s="208"/>
      <c r="H709" s="208"/>
      <c r="I709" s="208"/>
      <c r="J709" s="208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spans="1:26" ht="11.25" customHeight="1">
      <c r="A710" s="337"/>
      <c r="B710" s="204"/>
      <c r="C710" s="206"/>
      <c r="D710" s="207"/>
      <c r="E710" s="208"/>
      <c r="F710" s="208"/>
      <c r="G710" s="208"/>
      <c r="H710" s="208"/>
      <c r="I710" s="208"/>
      <c r="J710" s="208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spans="1:26" ht="11.25" customHeight="1">
      <c r="A711" s="337"/>
      <c r="B711" s="204"/>
      <c r="C711" s="206"/>
      <c r="D711" s="207"/>
      <c r="E711" s="208"/>
      <c r="F711" s="208"/>
      <c r="G711" s="208"/>
      <c r="H711" s="208"/>
      <c r="I711" s="208"/>
      <c r="J711" s="208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spans="1:26" ht="11.25" customHeight="1">
      <c r="A712" s="337"/>
      <c r="B712" s="204"/>
      <c r="C712" s="206"/>
      <c r="D712" s="207"/>
      <c r="E712" s="208"/>
      <c r="F712" s="208"/>
      <c r="G712" s="208"/>
      <c r="H712" s="208"/>
      <c r="I712" s="208"/>
      <c r="J712" s="208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spans="1:26" ht="11.25" customHeight="1">
      <c r="A713" s="337"/>
      <c r="B713" s="204"/>
      <c r="C713" s="206"/>
      <c r="D713" s="207"/>
      <c r="E713" s="208"/>
      <c r="F713" s="208"/>
      <c r="G713" s="208"/>
      <c r="H713" s="208"/>
      <c r="I713" s="208"/>
      <c r="J713" s="208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spans="1:26" ht="11.25" customHeight="1">
      <c r="A714" s="337"/>
      <c r="B714" s="204"/>
      <c r="C714" s="206"/>
      <c r="D714" s="207"/>
      <c r="E714" s="208"/>
      <c r="F714" s="208"/>
      <c r="G714" s="208"/>
      <c r="H714" s="208"/>
      <c r="I714" s="208"/>
      <c r="J714" s="208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spans="1:26" ht="11.25" customHeight="1">
      <c r="A715" s="337"/>
      <c r="B715" s="204"/>
      <c r="C715" s="206"/>
      <c r="D715" s="207"/>
      <c r="E715" s="208"/>
      <c r="F715" s="208"/>
      <c r="G715" s="208"/>
      <c r="H715" s="208"/>
      <c r="I715" s="208"/>
      <c r="J715" s="208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spans="1:26" ht="11.25" customHeight="1">
      <c r="A716" s="337"/>
      <c r="B716" s="204"/>
      <c r="C716" s="206"/>
      <c r="D716" s="207"/>
      <c r="E716" s="208"/>
      <c r="F716" s="208"/>
      <c r="G716" s="208"/>
      <c r="H716" s="208"/>
      <c r="I716" s="208"/>
      <c r="J716" s="208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spans="1:26" ht="11.25" customHeight="1">
      <c r="A717" s="337"/>
      <c r="B717" s="204"/>
      <c r="C717" s="206"/>
      <c r="D717" s="207"/>
      <c r="E717" s="208"/>
      <c r="F717" s="208"/>
      <c r="G717" s="208"/>
      <c r="H717" s="208"/>
      <c r="I717" s="208"/>
      <c r="J717" s="208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spans="1:26" ht="11.25" customHeight="1">
      <c r="A718" s="337"/>
      <c r="B718" s="204"/>
      <c r="C718" s="206"/>
      <c r="D718" s="207"/>
      <c r="E718" s="208"/>
      <c r="F718" s="208"/>
      <c r="G718" s="208"/>
      <c r="H718" s="208"/>
      <c r="I718" s="208"/>
      <c r="J718" s="208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spans="1:26" ht="11.25" customHeight="1">
      <c r="A719" s="337"/>
      <c r="B719" s="204"/>
      <c r="C719" s="206"/>
      <c r="D719" s="207"/>
      <c r="E719" s="208"/>
      <c r="F719" s="208"/>
      <c r="G719" s="208"/>
      <c r="H719" s="208"/>
      <c r="I719" s="208"/>
      <c r="J719" s="208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spans="1:26" ht="11.25" customHeight="1">
      <c r="A720" s="337"/>
      <c r="B720" s="204"/>
      <c r="C720" s="206"/>
      <c r="D720" s="207"/>
      <c r="E720" s="208"/>
      <c r="F720" s="208"/>
      <c r="G720" s="208"/>
      <c r="H720" s="208"/>
      <c r="I720" s="208"/>
      <c r="J720" s="208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spans="1:26" ht="11.25" customHeight="1">
      <c r="A721" s="337"/>
      <c r="B721" s="204"/>
      <c r="C721" s="206"/>
      <c r="D721" s="207"/>
      <c r="E721" s="208"/>
      <c r="F721" s="208"/>
      <c r="G721" s="208"/>
      <c r="H721" s="208"/>
      <c r="I721" s="208"/>
      <c r="J721" s="208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spans="1:26" ht="11.25" customHeight="1">
      <c r="A722" s="337"/>
      <c r="B722" s="204"/>
      <c r="C722" s="206"/>
      <c r="D722" s="207"/>
      <c r="E722" s="208"/>
      <c r="F722" s="208"/>
      <c r="G722" s="208"/>
      <c r="H722" s="208"/>
      <c r="I722" s="208"/>
      <c r="J722" s="208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spans="1:26" ht="11.25" customHeight="1">
      <c r="A723" s="337"/>
      <c r="B723" s="204"/>
      <c r="C723" s="206"/>
      <c r="D723" s="207"/>
      <c r="E723" s="208"/>
      <c r="F723" s="208"/>
      <c r="G723" s="208"/>
      <c r="H723" s="208"/>
      <c r="I723" s="208"/>
      <c r="J723" s="208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spans="1:26" ht="11.25" customHeight="1">
      <c r="A724" s="337"/>
      <c r="B724" s="204"/>
      <c r="C724" s="206"/>
      <c r="D724" s="207"/>
      <c r="E724" s="208"/>
      <c r="F724" s="208"/>
      <c r="G724" s="208"/>
      <c r="H724" s="208"/>
      <c r="I724" s="208"/>
      <c r="J724" s="208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spans="1:26" ht="11.25" customHeight="1">
      <c r="A725" s="337"/>
      <c r="B725" s="204"/>
      <c r="C725" s="206"/>
      <c r="D725" s="207"/>
      <c r="E725" s="208"/>
      <c r="F725" s="208"/>
      <c r="G725" s="208"/>
      <c r="H725" s="208"/>
      <c r="I725" s="208"/>
      <c r="J725" s="208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spans="1:26" ht="11.25" customHeight="1">
      <c r="A726" s="337"/>
      <c r="B726" s="204"/>
      <c r="C726" s="206"/>
      <c r="D726" s="207"/>
      <c r="E726" s="208"/>
      <c r="F726" s="208"/>
      <c r="G726" s="208"/>
      <c r="H726" s="208"/>
      <c r="I726" s="208"/>
      <c r="J726" s="208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spans="1:26" ht="11.25" customHeight="1">
      <c r="A727" s="337"/>
      <c r="B727" s="204"/>
      <c r="C727" s="206"/>
      <c r="D727" s="207"/>
      <c r="E727" s="208"/>
      <c r="F727" s="208"/>
      <c r="G727" s="208"/>
      <c r="H727" s="208"/>
      <c r="I727" s="208"/>
      <c r="J727" s="208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spans="1:26" ht="11.25" customHeight="1">
      <c r="A728" s="337"/>
      <c r="B728" s="204"/>
      <c r="C728" s="206"/>
      <c r="D728" s="207"/>
      <c r="E728" s="208"/>
      <c r="F728" s="208"/>
      <c r="G728" s="208"/>
      <c r="H728" s="208"/>
      <c r="I728" s="208"/>
      <c r="J728" s="208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spans="1:26" ht="11.25" customHeight="1">
      <c r="A729" s="337"/>
      <c r="B729" s="204"/>
      <c r="C729" s="206"/>
      <c r="D729" s="207"/>
      <c r="E729" s="208"/>
      <c r="F729" s="208"/>
      <c r="G729" s="208"/>
      <c r="H729" s="208"/>
      <c r="I729" s="208"/>
      <c r="J729" s="208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spans="1:26" ht="11.25" customHeight="1">
      <c r="A730" s="337"/>
      <c r="B730" s="204"/>
      <c r="C730" s="206"/>
      <c r="D730" s="207"/>
      <c r="E730" s="208"/>
      <c r="F730" s="208"/>
      <c r="G730" s="208"/>
      <c r="H730" s="208"/>
      <c r="I730" s="208"/>
      <c r="J730" s="208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spans="1:26" ht="11.25" customHeight="1">
      <c r="A731" s="337"/>
      <c r="B731" s="204"/>
      <c r="C731" s="206"/>
      <c r="D731" s="207"/>
      <c r="E731" s="208"/>
      <c r="F731" s="208"/>
      <c r="G731" s="208"/>
      <c r="H731" s="208"/>
      <c r="I731" s="208"/>
      <c r="J731" s="208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spans="1:26" ht="11.25" customHeight="1">
      <c r="A732" s="337"/>
      <c r="B732" s="204"/>
      <c r="C732" s="206"/>
      <c r="D732" s="207"/>
      <c r="E732" s="208"/>
      <c r="F732" s="208"/>
      <c r="G732" s="208"/>
      <c r="H732" s="208"/>
      <c r="I732" s="208"/>
      <c r="J732" s="208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spans="1:26" ht="11.25" customHeight="1">
      <c r="A733" s="337"/>
      <c r="B733" s="204"/>
      <c r="C733" s="206"/>
      <c r="D733" s="207"/>
      <c r="E733" s="208"/>
      <c r="F733" s="208"/>
      <c r="G733" s="208"/>
      <c r="H733" s="208"/>
      <c r="I733" s="208"/>
      <c r="J733" s="208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spans="1:26" ht="11.25" customHeight="1">
      <c r="A734" s="337"/>
      <c r="B734" s="204"/>
      <c r="C734" s="206"/>
      <c r="D734" s="207"/>
      <c r="E734" s="208"/>
      <c r="F734" s="208"/>
      <c r="G734" s="208"/>
      <c r="H734" s="208"/>
      <c r="I734" s="208"/>
      <c r="J734" s="208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spans="1:26" ht="11.25" customHeight="1">
      <c r="A735" s="337"/>
      <c r="B735" s="204"/>
      <c r="C735" s="206"/>
      <c r="D735" s="207"/>
      <c r="E735" s="208"/>
      <c r="F735" s="208"/>
      <c r="G735" s="208"/>
      <c r="H735" s="208"/>
      <c r="I735" s="208"/>
      <c r="J735" s="208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spans="1:26" ht="11.25" customHeight="1">
      <c r="A736" s="337"/>
      <c r="B736" s="204"/>
      <c r="C736" s="206"/>
      <c r="D736" s="207"/>
      <c r="E736" s="208"/>
      <c r="F736" s="208"/>
      <c r="G736" s="208"/>
      <c r="H736" s="208"/>
      <c r="I736" s="208"/>
      <c r="J736" s="208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spans="1:26" ht="11.25" customHeight="1">
      <c r="A737" s="337"/>
      <c r="B737" s="204"/>
      <c r="C737" s="206"/>
      <c r="D737" s="207"/>
      <c r="E737" s="208"/>
      <c r="F737" s="208"/>
      <c r="G737" s="208"/>
      <c r="H737" s="208"/>
      <c r="I737" s="208"/>
      <c r="J737" s="208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spans="1:26" ht="11.25" customHeight="1">
      <c r="A738" s="337"/>
      <c r="B738" s="204"/>
      <c r="C738" s="206"/>
      <c r="D738" s="207"/>
      <c r="E738" s="208"/>
      <c r="F738" s="208"/>
      <c r="G738" s="208"/>
      <c r="H738" s="208"/>
      <c r="I738" s="208"/>
      <c r="J738" s="208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spans="1:26" ht="11.25" customHeight="1">
      <c r="A739" s="337"/>
      <c r="B739" s="204"/>
      <c r="C739" s="206"/>
      <c r="D739" s="207"/>
      <c r="E739" s="208"/>
      <c r="F739" s="208"/>
      <c r="G739" s="208"/>
      <c r="H739" s="208"/>
      <c r="I739" s="208"/>
      <c r="J739" s="208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spans="1:26" ht="11.25" customHeight="1">
      <c r="A740" s="337"/>
      <c r="B740" s="204"/>
      <c r="C740" s="206"/>
      <c r="D740" s="207"/>
      <c r="E740" s="208"/>
      <c r="F740" s="208"/>
      <c r="G740" s="208"/>
      <c r="H740" s="208"/>
      <c r="I740" s="208"/>
      <c r="J740" s="208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spans="1:26" ht="11.25" customHeight="1">
      <c r="A741" s="337"/>
      <c r="B741" s="204"/>
      <c r="C741" s="206"/>
      <c r="D741" s="207"/>
      <c r="E741" s="208"/>
      <c r="F741" s="208"/>
      <c r="G741" s="208"/>
      <c r="H741" s="208"/>
      <c r="I741" s="208"/>
      <c r="J741" s="208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spans="1:26" ht="11.25" customHeight="1">
      <c r="A742" s="337"/>
      <c r="B742" s="204"/>
      <c r="C742" s="206"/>
      <c r="D742" s="207"/>
      <c r="E742" s="208"/>
      <c r="F742" s="208"/>
      <c r="G742" s="208"/>
      <c r="H742" s="208"/>
      <c r="I742" s="208"/>
      <c r="J742" s="208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spans="1:26" ht="11.25" customHeight="1">
      <c r="A743" s="337"/>
      <c r="B743" s="204"/>
      <c r="C743" s="206"/>
      <c r="D743" s="207"/>
      <c r="E743" s="208"/>
      <c r="F743" s="208"/>
      <c r="G743" s="208"/>
      <c r="H743" s="208"/>
      <c r="I743" s="208"/>
      <c r="J743" s="208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spans="1:26" ht="11.25" customHeight="1">
      <c r="A744" s="337"/>
      <c r="B744" s="204"/>
      <c r="C744" s="206"/>
      <c r="D744" s="207"/>
      <c r="E744" s="208"/>
      <c r="F744" s="208"/>
      <c r="G744" s="208"/>
      <c r="H744" s="208"/>
      <c r="I744" s="208"/>
      <c r="J744" s="208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spans="1:26" ht="11.25" customHeight="1">
      <c r="A745" s="337"/>
      <c r="B745" s="204"/>
      <c r="C745" s="206"/>
      <c r="D745" s="207"/>
      <c r="E745" s="208"/>
      <c r="F745" s="208"/>
      <c r="G745" s="208"/>
      <c r="H745" s="208"/>
      <c r="I745" s="208"/>
      <c r="J745" s="208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spans="1:26" ht="11.25" customHeight="1">
      <c r="A746" s="337"/>
      <c r="B746" s="204"/>
      <c r="C746" s="206"/>
      <c r="D746" s="207"/>
      <c r="E746" s="208"/>
      <c r="F746" s="208"/>
      <c r="G746" s="208"/>
      <c r="H746" s="208"/>
      <c r="I746" s="208"/>
      <c r="J746" s="208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spans="1:26" ht="11.25" customHeight="1">
      <c r="A747" s="337"/>
      <c r="B747" s="204"/>
      <c r="C747" s="206"/>
      <c r="D747" s="207"/>
      <c r="E747" s="208"/>
      <c r="F747" s="208"/>
      <c r="G747" s="208"/>
      <c r="H747" s="208"/>
      <c r="I747" s="208"/>
      <c r="J747" s="208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spans="1:26" ht="11.25" customHeight="1">
      <c r="A748" s="337"/>
      <c r="B748" s="204"/>
      <c r="C748" s="206"/>
      <c r="D748" s="207"/>
      <c r="E748" s="208"/>
      <c r="F748" s="208"/>
      <c r="G748" s="208"/>
      <c r="H748" s="208"/>
      <c r="I748" s="208"/>
      <c r="J748" s="208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spans="1:26" ht="11.25" customHeight="1">
      <c r="A749" s="337"/>
      <c r="B749" s="204"/>
      <c r="C749" s="206"/>
      <c r="D749" s="207"/>
      <c r="E749" s="208"/>
      <c r="F749" s="208"/>
      <c r="G749" s="208"/>
      <c r="H749" s="208"/>
      <c r="I749" s="208"/>
      <c r="J749" s="208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spans="1:26" ht="11.25" customHeight="1">
      <c r="A750" s="337"/>
      <c r="B750" s="204"/>
      <c r="C750" s="206"/>
      <c r="D750" s="207"/>
      <c r="E750" s="208"/>
      <c r="F750" s="208"/>
      <c r="G750" s="208"/>
      <c r="H750" s="208"/>
      <c r="I750" s="208"/>
      <c r="J750" s="208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spans="1:26" ht="11.25" customHeight="1">
      <c r="A751" s="337"/>
      <c r="B751" s="204"/>
      <c r="C751" s="206"/>
      <c r="D751" s="207"/>
      <c r="E751" s="208"/>
      <c r="F751" s="208"/>
      <c r="G751" s="208"/>
      <c r="H751" s="208"/>
      <c r="I751" s="208"/>
      <c r="J751" s="208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spans="1:26" ht="11.25" customHeight="1">
      <c r="A752" s="337"/>
      <c r="B752" s="204"/>
      <c r="C752" s="206"/>
      <c r="D752" s="207"/>
      <c r="E752" s="208"/>
      <c r="F752" s="208"/>
      <c r="G752" s="208"/>
      <c r="H752" s="208"/>
      <c r="I752" s="208"/>
      <c r="J752" s="208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spans="1:26" ht="11.25" customHeight="1">
      <c r="A753" s="337"/>
      <c r="B753" s="204"/>
      <c r="C753" s="206"/>
      <c r="D753" s="207"/>
      <c r="E753" s="208"/>
      <c r="F753" s="208"/>
      <c r="G753" s="208"/>
      <c r="H753" s="208"/>
      <c r="I753" s="208"/>
      <c r="J753" s="208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spans="1:26" ht="11.25" customHeight="1">
      <c r="A754" s="337"/>
      <c r="B754" s="204"/>
      <c r="C754" s="206"/>
      <c r="D754" s="207"/>
      <c r="E754" s="208"/>
      <c r="F754" s="208"/>
      <c r="G754" s="208"/>
      <c r="H754" s="208"/>
      <c r="I754" s="208"/>
      <c r="J754" s="208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spans="1:26" ht="11.25" customHeight="1">
      <c r="A755" s="337"/>
      <c r="B755" s="204"/>
      <c r="C755" s="206"/>
      <c r="D755" s="207"/>
      <c r="E755" s="208"/>
      <c r="F755" s="208"/>
      <c r="G755" s="208"/>
      <c r="H755" s="208"/>
      <c r="I755" s="208"/>
      <c r="J755" s="208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spans="1:26" ht="11.25" customHeight="1">
      <c r="A756" s="337"/>
      <c r="B756" s="204"/>
      <c r="C756" s="206"/>
      <c r="D756" s="207"/>
      <c r="E756" s="208"/>
      <c r="F756" s="208"/>
      <c r="G756" s="208"/>
      <c r="H756" s="208"/>
      <c r="I756" s="208"/>
      <c r="J756" s="208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spans="1:26" ht="11.25" customHeight="1">
      <c r="A757" s="337"/>
      <c r="B757" s="204"/>
      <c r="C757" s="206"/>
      <c r="D757" s="207"/>
      <c r="E757" s="208"/>
      <c r="F757" s="208"/>
      <c r="G757" s="208"/>
      <c r="H757" s="208"/>
      <c r="I757" s="208"/>
      <c r="J757" s="208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spans="1:26" ht="11.25" customHeight="1">
      <c r="A758" s="337"/>
      <c r="B758" s="204"/>
      <c r="C758" s="206"/>
      <c r="D758" s="207"/>
      <c r="E758" s="208"/>
      <c r="F758" s="208"/>
      <c r="G758" s="208"/>
      <c r="H758" s="208"/>
      <c r="I758" s="208"/>
      <c r="J758" s="208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spans="1:26" ht="11.25" customHeight="1">
      <c r="A759" s="337"/>
      <c r="B759" s="204"/>
      <c r="C759" s="206"/>
      <c r="D759" s="207"/>
      <c r="E759" s="208"/>
      <c r="F759" s="208"/>
      <c r="G759" s="208"/>
      <c r="H759" s="208"/>
      <c r="I759" s="208"/>
      <c r="J759" s="208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spans="1:26" ht="11.25" customHeight="1">
      <c r="A760" s="337"/>
      <c r="B760" s="204"/>
      <c r="C760" s="206"/>
      <c r="D760" s="207"/>
      <c r="E760" s="208"/>
      <c r="F760" s="208"/>
      <c r="G760" s="208"/>
      <c r="H760" s="208"/>
      <c r="I760" s="208"/>
      <c r="J760" s="208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spans="1:26" ht="11.25" customHeight="1">
      <c r="A761" s="337"/>
      <c r="B761" s="204"/>
      <c r="C761" s="206"/>
      <c r="D761" s="207"/>
      <c r="E761" s="208"/>
      <c r="F761" s="208"/>
      <c r="G761" s="208"/>
      <c r="H761" s="208"/>
      <c r="I761" s="208"/>
      <c r="J761" s="208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spans="1:26" ht="11.25" customHeight="1">
      <c r="A762" s="337"/>
      <c r="B762" s="204"/>
      <c r="C762" s="206"/>
      <c r="D762" s="207"/>
      <c r="E762" s="208"/>
      <c r="F762" s="208"/>
      <c r="G762" s="208"/>
      <c r="H762" s="208"/>
      <c r="I762" s="208"/>
      <c r="J762" s="208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spans="1:26" ht="11.25" customHeight="1">
      <c r="A763" s="337"/>
      <c r="B763" s="204"/>
      <c r="C763" s="206"/>
      <c r="D763" s="207"/>
      <c r="E763" s="208"/>
      <c r="F763" s="208"/>
      <c r="G763" s="208"/>
      <c r="H763" s="208"/>
      <c r="I763" s="208"/>
      <c r="J763" s="208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spans="1:26" ht="11.25" customHeight="1">
      <c r="A764" s="337"/>
      <c r="B764" s="204"/>
      <c r="C764" s="206"/>
      <c r="D764" s="207"/>
      <c r="E764" s="208"/>
      <c r="F764" s="208"/>
      <c r="G764" s="208"/>
      <c r="H764" s="208"/>
      <c r="I764" s="208"/>
      <c r="J764" s="208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spans="1:26" ht="11.25" customHeight="1">
      <c r="A765" s="337"/>
      <c r="B765" s="204"/>
      <c r="C765" s="206"/>
      <c r="D765" s="207"/>
      <c r="E765" s="208"/>
      <c r="F765" s="208"/>
      <c r="G765" s="208"/>
      <c r="H765" s="208"/>
      <c r="I765" s="208"/>
      <c r="J765" s="208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spans="1:26" ht="11.25" customHeight="1">
      <c r="A766" s="337"/>
      <c r="B766" s="204"/>
      <c r="C766" s="206"/>
      <c r="D766" s="207"/>
      <c r="E766" s="208"/>
      <c r="F766" s="208"/>
      <c r="G766" s="208"/>
      <c r="H766" s="208"/>
      <c r="I766" s="208"/>
      <c r="J766" s="208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spans="1:26" ht="11.25" customHeight="1">
      <c r="A767" s="337"/>
      <c r="B767" s="204"/>
      <c r="C767" s="206"/>
      <c r="D767" s="207"/>
      <c r="E767" s="208"/>
      <c r="F767" s="208"/>
      <c r="G767" s="208"/>
      <c r="H767" s="208"/>
      <c r="I767" s="208"/>
      <c r="J767" s="208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spans="1:26" ht="11.25" customHeight="1">
      <c r="A768" s="337"/>
      <c r="B768" s="204"/>
      <c r="C768" s="206"/>
      <c r="D768" s="207"/>
      <c r="E768" s="208"/>
      <c r="F768" s="208"/>
      <c r="G768" s="208"/>
      <c r="H768" s="208"/>
      <c r="I768" s="208"/>
      <c r="J768" s="208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spans="1:26" ht="11.25" customHeight="1">
      <c r="A769" s="337"/>
      <c r="B769" s="204"/>
      <c r="C769" s="206"/>
      <c r="D769" s="207"/>
      <c r="E769" s="208"/>
      <c r="F769" s="208"/>
      <c r="G769" s="208"/>
      <c r="H769" s="208"/>
      <c r="I769" s="208"/>
      <c r="J769" s="208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spans="1:26" ht="11.25" customHeight="1">
      <c r="A770" s="337"/>
      <c r="B770" s="204"/>
      <c r="C770" s="206"/>
      <c r="D770" s="207"/>
      <c r="E770" s="208"/>
      <c r="F770" s="208"/>
      <c r="G770" s="208"/>
      <c r="H770" s="208"/>
      <c r="I770" s="208"/>
      <c r="J770" s="208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spans="1:26" ht="11.25" customHeight="1">
      <c r="A771" s="337"/>
      <c r="B771" s="204"/>
      <c r="C771" s="206"/>
      <c r="D771" s="207"/>
      <c r="E771" s="208"/>
      <c r="F771" s="208"/>
      <c r="G771" s="208"/>
      <c r="H771" s="208"/>
      <c r="I771" s="208"/>
      <c r="J771" s="208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spans="1:26" ht="11.25" customHeight="1">
      <c r="A772" s="337"/>
      <c r="B772" s="204"/>
      <c r="C772" s="206"/>
      <c r="D772" s="207"/>
      <c r="E772" s="208"/>
      <c r="F772" s="208"/>
      <c r="G772" s="208"/>
      <c r="H772" s="208"/>
      <c r="I772" s="208"/>
      <c r="J772" s="208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spans="1:26" ht="11.25" customHeight="1">
      <c r="A773" s="337"/>
      <c r="B773" s="204"/>
      <c r="C773" s="206"/>
      <c r="D773" s="207"/>
      <c r="E773" s="208"/>
      <c r="F773" s="208"/>
      <c r="G773" s="208"/>
      <c r="H773" s="208"/>
      <c r="I773" s="208"/>
      <c r="J773" s="208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spans="1:26" ht="11.25" customHeight="1">
      <c r="A774" s="337"/>
      <c r="B774" s="204"/>
      <c r="C774" s="206"/>
      <c r="D774" s="207"/>
      <c r="E774" s="208"/>
      <c r="F774" s="208"/>
      <c r="G774" s="208"/>
      <c r="H774" s="208"/>
      <c r="I774" s="208"/>
      <c r="J774" s="208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spans="1:26" ht="11.25" customHeight="1">
      <c r="A775" s="337"/>
      <c r="B775" s="204"/>
      <c r="C775" s="206"/>
      <c r="D775" s="207"/>
      <c r="E775" s="208"/>
      <c r="F775" s="208"/>
      <c r="G775" s="208"/>
      <c r="H775" s="208"/>
      <c r="I775" s="208"/>
      <c r="J775" s="208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spans="1:26" ht="11.25" customHeight="1">
      <c r="A776" s="337"/>
      <c r="B776" s="204"/>
      <c r="C776" s="206"/>
      <c r="D776" s="207"/>
      <c r="E776" s="208"/>
      <c r="F776" s="208"/>
      <c r="G776" s="208"/>
      <c r="H776" s="208"/>
      <c r="I776" s="208"/>
      <c r="J776" s="208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spans="1:26" ht="11.25" customHeight="1">
      <c r="A777" s="337"/>
      <c r="B777" s="204"/>
      <c r="C777" s="206"/>
      <c r="D777" s="207"/>
      <c r="E777" s="208"/>
      <c r="F777" s="208"/>
      <c r="G777" s="208"/>
      <c r="H777" s="208"/>
      <c r="I777" s="208"/>
      <c r="J777" s="208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spans="1:26" ht="11.25" customHeight="1">
      <c r="A778" s="337"/>
      <c r="B778" s="204"/>
      <c r="C778" s="206"/>
      <c r="D778" s="207"/>
      <c r="E778" s="208"/>
      <c r="F778" s="208"/>
      <c r="G778" s="208"/>
      <c r="H778" s="208"/>
      <c r="I778" s="208"/>
      <c r="J778" s="208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spans="1:26" ht="11.25" customHeight="1">
      <c r="A779" s="337"/>
      <c r="B779" s="204"/>
      <c r="C779" s="206"/>
      <c r="D779" s="207"/>
      <c r="E779" s="208"/>
      <c r="F779" s="208"/>
      <c r="G779" s="208"/>
      <c r="H779" s="208"/>
      <c r="I779" s="208"/>
      <c r="J779" s="208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spans="1:26" ht="11.25" customHeight="1">
      <c r="A780" s="337"/>
      <c r="B780" s="204"/>
      <c r="C780" s="206"/>
      <c r="D780" s="207"/>
      <c r="E780" s="208"/>
      <c r="F780" s="208"/>
      <c r="G780" s="208"/>
      <c r="H780" s="208"/>
      <c r="I780" s="208"/>
      <c r="J780" s="208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spans="1:26" ht="11.25" customHeight="1">
      <c r="A781" s="337"/>
      <c r="B781" s="204"/>
      <c r="C781" s="206"/>
      <c r="D781" s="207"/>
      <c r="E781" s="208"/>
      <c r="F781" s="208"/>
      <c r="G781" s="208"/>
      <c r="H781" s="208"/>
      <c r="I781" s="208"/>
      <c r="J781" s="208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spans="1:26" ht="11.25" customHeight="1">
      <c r="A782" s="337"/>
      <c r="B782" s="204"/>
      <c r="C782" s="206"/>
      <c r="D782" s="207"/>
      <c r="E782" s="208"/>
      <c r="F782" s="208"/>
      <c r="G782" s="208"/>
      <c r="H782" s="208"/>
      <c r="I782" s="208"/>
      <c r="J782" s="208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spans="1:26" ht="11.25" customHeight="1">
      <c r="A783" s="337"/>
      <c r="B783" s="204"/>
      <c r="C783" s="206"/>
      <c r="D783" s="207"/>
      <c r="E783" s="208"/>
      <c r="F783" s="208"/>
      <c r="G783" s="208"/>
      <c r="H783" s="208"/>
      <c r="I783" s="208"/>
      <c r="J783" s="208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spans="1:26" ht="11.25" customHeight="1">
      <c r="A784" s="337"/>
      <c r="B784" s="204"/>
      <c r="C784" s="206"/>
      <c r="D784" s="207"/>
      <c r="E784" s="208"/>
      <c r="F784" s="208"/>
      <c r="G784" s="208"/>
      <c r="H784" s="208"/>
      <c r="I784" s="208"/>
      <c r="J784" s="208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spans="1:26" ht="11.25" customHeight="1">
      <c r="A785" s="337"/>
      <c r="B785" s="204"/>
      <c r="C785" s="206"/>
      <c r="D785" s="207"/>
      <c r="E785" s="208"/>
      <c r="F785" s="208"/>
      <c r="G785" s="208"/>
      <c r="H785" s="208"/>
      <c r="I785" s="208"/>
      <c r="J785" s="208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spans="1:26" ht="11.25" customHeight="1">
      <c r="A786" s="337"/>
      <c r="B786" s="204"/>
      <c r="C786" s="206"/>
      <c r="D786" s="207"/>
      <c r="E786" s="208"/>
      <c r="F786" s="208"/>
      <c r="G786" s="208"/>
      <c r="H786" s="208"/>
      <c r="I786" s="208"/>
      <c r="J786" s="208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spans="1:26" ht="11.25" customHeight="1">
      <c r="A787" s="337"/>
      <c r="B787" s="204"/>
      <c r="C787" s="206"/>
      <c r="D787" s="207"/>
      <c r="E787" s="208"/>
      <c r="F787" s="208"/>
      <c r="G787" s="208"/>
      <c r="H787" s="208"/>
      <c r="I787" s="208"/>
      <c r="J787" s="208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spans="1:26" ht="11.25" customHeight="1">
      <c r="A788" s="337"/>
      <c r="B788" s="204"/>
      <c r="C788" s="206"/>
      <c r="D788" s="207"/>
      <c r="E788" s="208"/>
      <c r="F788" s="208"/>
      <c r="G788" s="208"/>
      <c r="H788" s="208"/>
      <c r="I788" s="208"/>
      <c r="J788" s="208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spans="1:26" ht="11.25" customHeight="1">
      <c r="A789" s="337"/>
      <c r="B789" s="204"/>
      <c r="C789" s="206"/>
      <c r="D789" s="207"/>
      <c r="E789" s="208"/>
      <c r="F789" s="208"/>
      <c r="G789" s="208"/>
      <c r="H789" s="208"/>
      <c r="I789" s="208"/>
      <c r="J789" s="208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spans="1:26" ht="11.25" customHeight="1">
      <c r="A790" s="337"/>
      <c r="B790" s="204"/>
      <c r="C790" s="206"/>
      <c r="D790" s="207"/>
      <c r="E790" s="208"/>
      <c r="F790" s="208"/>
      <c r="G790" s="208"/>
      <c r="H790" s="208"/>
      <c r="I790" s="208"/>
      <c r="J790" s="208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spans="1:26" ht="11.25" customHeight="1">
      <c r="A791" s="337"/>
      <c r="B791" s="204"/>
      <c r="C791" s="206"/>
      <c r="D791" s="207"/>
      <c r="E791" s="208"/>
      <c r="F791" s="208"/>
      <c r="G791" s="208"/>
      <c r="H791" s="208"/>
      <c r="I791" s="208"/>
      <c r="J791" s="208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spans="1:26" ht="11.25" customHeight="1">
      <c r="A792" s="337"/>
      <c r="B792" s="204"/>
      <c r="C792" s="206"/>
      <c r="D792" s="207"/>
      <c r="E792" s="208"/>
      <c r="F792" s="208"/>
      <c r="G792" s="208"/>
      <c r="H792" s="208"/>
      <c r="I792" s="208"/>
      <c r="J792" s="208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spans="1:26" ht="11.25" customHeight="1">
      <c r="A793" s="337"/>
      <c r="B793" s="204"/>
      <c r="C793" s="206"/>
      <c r="D793" s="207"/>
      <c r="E793" s="208"/>
      <c r="F793" s="208"/>
      <c r="G793" s="208"/>
      <c r="H793" s="208"/>
      <c r="I793" s="208"/>
      <c r="J793" s="208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spans="1:26" ht="11.25" customHeight="1">
      <c r="A794" s="337"/>
      <c r="B794" s="204"/>
      <c r="C794" s="206"/>
      <c r="D794" s="207"/>
      <c r="E794" s="208"/>
      <c r="F794" s="208"/>
      <c r="G794" s="208"/>
      <c r="H794" s="208"/>
      <c r="I794" s="208"/>
      <c r="J794" s="208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spans="1:26" ht="11.25" customHeight="1">
      <c r="A795" s="337"/>
      <c r="B795" s="204"/>
      <c r="C795" s="206"/>
      <c r="D795" s="207"/>
      <c r="E795" s="208"/>
      <c r="F795" s="208"/>
      <c r="G795" s="208"/>
      <c r="H795" s="208"/>
      <c r="I795" s="208"/>
      <c r="J795" s="208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spans="1:26" ht="11.25" customHeight="1">
      <c r="A796" s="337"/>
      <c r="B796" s="204"/>
      <c r="C796" s="206"/>
      <c r="D796" s="207"/>
      <c r="E796" s="208"/>
      <c r="F796" s="208"/>
      <c r="G796" s="208"/>
      <c r="H796" s="208"/>
      <c r="I796" s="208"/>
      <c r="J796" s="208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spans="1:26" ht="11.25" customHeight="1">
      <c r="A797" s="337"/>
      <c r="B797" s="204"/>
      <c r="C797" s="206"/>
      <c r="D797" s="207"/>
      <c r="E797" s="208"/>
      <c r="F797" s="208"/>
      <c r="G797" s="208"/>
      <c r="H797" s="208"/>
      <c r="I797" s="208"/>
      <c r="J797" s="208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spans="1:26" ht="11.25" customHeight="1">
      <c r="A798" s="337"/>
      <c r="B798" s="204"/>
      <c r="C798" s="206"/>
      <c r="D798" s="207"/>
      <c r="E798" s="208"/>
      <c r="F798" s="208"/>
      <c r="G798" s="208"/>
      <c r="H798" s="208"/>
      <c r="I798" s="208"/>
      <c r="J798" s="208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spans="1:26" ht="11.25" customHeight="1">
      <c r="A799" s="337"/>
      <c r="B799" s="204"/>
      <c r="C799" s="206"/>
      <c r="D799" s="207"/>
      <c r="E799" s="208"/>
      <c r="F799" s="208"/>
      <c r="G799" s="208"/>
      <c r="H799" s="208"/>
      <c r="I799" s="208"/>
      <c r="J799" s="208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spans="1:26" ht="11.25" customHeight="1">
      <c r="A800" s="337"/>
      <c r="B800" s="204"/>
      <c r="C800" s="206"/>
      <c r="D800" s="207"/>
      <c r="E800" s="208"/>
      <c r="F800" s="208"/>
      <c r="G800" s="208"/>
      <c r="H800" s="208"/>
      <c r="I800" s="208"/>
      <c r="J800" s="208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spans="1:26" ht="11.25" customHeight="1">
      <c r="A801" s="337"/>
      <c r="B801" s="204"/>
      <c r="C801" s="206"/>
      <c r="D801" s="207"/>
      <c r="E801" s="208"/>
      <c r="F801" s="208"/>
      <c r="G801" s="208"/>
      <c r="H801" s="208"/>
      <c r="I801" s="208"/>
      <c r="J801" s="208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spans="1:26" ht="11.25" customHeight="1">
      <c r="A802" s="337"/>
      <c r="B802" s="204"/>
      <c r="C802" s="206"/>
      <c r="D802" s="207"/>
      <c r="E802" s="208"/>
      <c r="F802" s="208"/>
      <c r="G802" s="208"/>
      <c r="H802" s="208"/>
      <c r="I802" s="208"/>
      <c r="J802" s="208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spans="1:26" ht="11.25" customHeight="1">
      <c r="A803" s="337"/>
      <c r="B803" s="204"/>
      <c r="C803" s="206"/>
      <c r="D803" s="207"/>
      <c r="E803" s="208"/>
      <c r="F803" s="208"/>
      <c r="G803" s="208"/>
      <c r="H803" s="208"/>
      <c r="I803" s="208"/>
      <c r="J803" s="208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spans="1:26" ht="11.25" customHeight="1">
      <c r="A804" s="337"/>
      <c r="B804" s="204"/>
      <c r="C804" s="206"/>
      <c r="D804" s="207"/>
      <c r="E804" s="208"/>
      <c r="F804" s="208"/>
      <c r="G804" s="208"/>
      <c r="H804" s="208"/>
      <c r="I804" s="208"/>
      <c r="J804" s="208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spans="1:26" ht="11.25" customHeight="1">
      <c r="A805" s="337"/>
      <c r="B805" s="204"/>
      <c r="C805" s="206"/>
      <c r="D805" s="207"/>
      <c r="E805" s="208"/>
      <c r="F805" s="208"/>
      <c r="G805" s="208"/>
      <c r="H805" s="208"/>
      <c r="I805" s="208"/>
      <c r="J805" s="208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spans="1:26" ht="11.25" customHeight="1">
      <c r="A806" s="337"/>
      <c r="B806" s="204"/>
      <c r="C806" s="206"/>
      <c r="D806" s="207"/>
      <c r="E806" s="208"/>
      <c r="F806" s="208"/>
      <c r="G806" s="208"/>
      <c r="H806" s="208"/>
      <c r="I806" s="208"/>
      <c r="J806" s="208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spans="1:26" ht="11.25" customHeight="1">
      <c r="A807" s="337"/>
      <c r="B807" s="204"/>
      <c r="C807" s="206"/>
      <c r="D807" s="207"/>
      <c r="E807" s="208"/>
      <c r="F807" s="208"/>
      <c r="G807" s="208"/>
      <c r="H807" s="208"/>
      <c r="I807" s="208"/>
      <c r="J807" s="208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spans="1:26" ht="11.25" customHeight="1">
      <c r="A808" s="337"/>
      <c r="B808" s="204"/>
      <c r="C808" s="206"/>
      <c r="D808" s="207"/>
      <c r="E808" s="208"/>
      <c r="F808" s="208"/>
      <c r="G808" s="208"/>
      <c r="H808" s="208"/>
      <c r="I808" s="208"/>
      <c r="J808" s="208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spans="1:26" ht="11.25" customHeight="1">
      <c r="A809" s="337"/>
      <c r="B809" s="204"/>
      <c r="C809" s="206"/>
      <c r="D809" s="207"/>
      <c r="E809" s="208"/>
      <c r="F809" s="208"/>
      <c r="G809" s="208"/>
      <c r="H809" s="208"/>
      <c r="I809" s="208"/>
      <c r="J809" s="208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spans="1:26" ht="11.25" customHeight="1">
      <c r="A810" s="337"/>
      <c r="B810" s="204"/>
      <c r="C810" s="206"/>
      <c r="D810" s="207"/>
      <c r="E810" s="208"/>
      <c r="F810" s="208"/>
      <c r="G810" s="208"/>
      <c r="H810" s="208"/>
      <c r="I810" s="208"/>
      <c r="J810" s="208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spans="1:26" ht="11.25" customHeight="1">
      <c r="A811" s="337"/>
      <c r="B811" s="204"/>
      <c r="C811" s="206"/>
      <c r="D811" s="207"/>
      <c r="E811" s="208"/>
      <c r="F811" s="208"/>
      <c r="G811" s="208"/>
      <c r="H811" s="208"/>
      <c r="I811" s="208"/>
      <c r="J811" s="208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spans="1:26" ht="11.25" customHeight="1">
      <c r="A812" s="337"/>
      <c r="B812" s="204"/>
      <c r="C812" s="206"/>
      <c r="D812" s="207"/>
      <c r="E812" s="208"/>
      <c r="F812" s="208"/>
      <c r="G812" s="208"/>
      <c r="H812" s="208"/>
      <c r="I812" s="208"/>
      <c r="J812" s="208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spans="1:26" ht="11.25" customHeight="1">
      <c r="A813" s="337"/>
      <c r="B813" s="204"/>
      <c r="C813" s="206"/>
      <c r="D813" s="207"/>
      <c r="E813" s="208"/>
      <c r="F813" s="208"/>
      <c r="G813" s="208"/>
      <c r="H813" s="208"/>
      <c r="I813" s="208"/>
      <c r="J813" s="208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spans="1:26" ht="11.25" customHeight="1">
      <c r="A814" s="337"/>
      <c r="B814" s="204"/>
      <c r="C814" s="206"/>
      <c r="D814" s="207"/>
      <c r="E814" s="208"/>
      <c r="F814" s="208"/>
      <c r="G814" s="208"/>
      <c r="H814" s="208"/>
      <c r="I814" s="208"/>
      <c r="J814" s="208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spans="1:26" ht="11.25" customHeight="1">
      <c r="A815" s="337"/>
      <c r="B815" s="204"/>
      <c r="C815" s="206"/>
      <c r="D815" s="207"/>
      <c r="E815" s="208"/>
      <c r="F815" s="208"/>
      <c r="G815" s="208"/>
      <c r="H815" s="208"/>
      <c r="I815" s="208"/>
      <c r="J815" s="208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spans="1:26" ht="11.25" customHeight="1">
      <c r="A816" s="337"/>
      <c r="B816" s="204"/>
      <c r="C816" s="206"/>
      <c r="D816" s="207"/>
      <c r="E816" s="208"/>
      <c r="F816" s="208"/>
      <c r="G816" s="208"/>
      <c r="H816" s="208"/>
      <c r="I816" s="208"/>
      <c r="J816" s="208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spans="1:26" ht="11.25" customHeight="1">
      <c r="A817" s="337"/>
      <c r="B817" s="204"/>
      <c r="C817" s="206"/>
      <c r="D817" s="207"/>
      <c r="E817" s="208"/>
      <c r="F817" s="208"/>
      <c r="G817" s="208"/>
      <c r="H817" s="208"/>
      <c r="I817" s="208"/>
      <c r="J817" s="208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spans="1:26" ht="11.25" customHeight="1">
      <c r="A818" s="337"/>
      <c r="B818" s="204"/>
      <c r="C818" s="206"/>
      <c r="D818" s="207"/>
      <c r="E818" s="208"/>
      <c r="F818" s="208"/>
      <c r="G818" s="208"/>
      <c r="H818" s="208"/>
      <c r="I818" s="208"/>
      <c r="J818" s="208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spans="1:26" ht="11.25" customHeight="1">
      <c r="A819" s="337"/>
      <c r="B819" s="204"/>
      <c r="C819" s="206"/>
      <c r="D819" s="207"/>
      <c r="E819" s="208"/>
      <c r="F819" s="208"/>
      <c r="G819" s="208"/>
      <c r="H819" s="208"/>
      <c r="I819" s="208"/>
      <c r="J819" s="208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spans="1:26" ht="11.25" customHeight="1">
      <c r="A820" s="337"/>
      <c r="B820" s="204"/>
      <c r="C820" s="206"/>
      <c r="D820" s="207"/>
      <c r="E820" s="208"/>
      <c r="F820" s="208"/>
      <c r="G820" s="208"/>
      <c r="H820" s="208"/>
      <c r="I820" s="208"/>
      <c r="J820" s="208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spans="1:26" ht="11.25" customHeight="1">
      <c r="A821" s="337"/>
      <c r="B821" s="204"/>
      <c r="C821" s="206"/>
      <c r="D821" s="207"/>
      <c r="E821" s="208"/>
      <c r="F821" s="208"/>
      <c r="G821" s="208"/>
      <c r="H821" s="208"/>
      <c r="I821" s="208"/>
      <c r="J821" s="208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spans="1:26" ht="11.25" customHeight="1">
      <c r="A822" s="337"/>
      <c r="B822" s="204"/>
      <c r="C822" s="206"/>
      <c r="D822" s="207"/>
      <c r="E822" s="208"/>
      <c r="F822" s="208"/>
      <c r="G822" s="208"/>
      <c r="H822" s="208"/>
      <c r="I822" s="208"/>
      <c r="J822" s="208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spans="1:26" ht="11.25" customHeight="1">
      <c r="A823" s="337"/>
      <c r="B823" s="204"/>
      <c r="C823" s="206"/>
      <c r="D823" s="207"/>
      <c r="E823" s="208"/>
      <c r="F823" s="208"/>
      <c r="G823" s="208"/>
      <c r="H823" s="208"/>
      <c r="I823" s="208"/>
      <c r="J823" s="208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spans="1:26" ht="11.25" customHeight="1">
      <c r="A824" s="337"/>
      <c r="B824" s="204"/>
      <c r="C824" s="206"/>
      <c r="D824" s="207"/>
      <c r="E824" s="208"/>
      <c r="F824" s="208"/>
      <c r="G824" s="208"/>
      <c r="H824" s="208"/>
      <c r="I824" s="208"/>
      <c r="J824" s="208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spans="1:26" ht="11.25" customHeight="1">
      <c r="A825" s="337"/>
      <c r="B825" s="204"/>
      <c r="C825" s="206"/>
      <c r="D825" s="207"/>
      <c r="E825" s="208"/>
      <c r="F825" s="208"/>
      <c r="G825" s="208"/>
      <c r="H825" s="208"/>
      <c r="I825" s="208"/>
      <c r="J825" s="208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spans="1:26" ht="11.25" customHeight="1">
      <c r="A826" s="337"/>
      <c r="B826" s="204"/>
      <c r="C826" s="206"/>
      <c r="D826" s="207"/>
      <c r="E826" s="208"/>
      <c r="F826" s="208"/>
      <c r="G826" s="208"/>
      <c r="H826" s="208"/>
      <c r="I826" s="208"/>
      <c r="J826" s="208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spans="1:26" ht="11.25" customHeight="1">
      <c r="A827" s="337"/>
      <c r="B827" s="204"/>
      <c r="C827" s="206"/>
      <c r="D827" s="207"/>
      <c r="E827" s="208"/>
      <c r="F827" s="208"/>
      <c r="G827" s="208"/>
      <c r="H827" s="208"/>
      <c r="I827" s="208"/>
      <c r="J827" s="208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spans="1:26" ht="11.25" customHeight="1">
      <c r="A828" s="337"/>
      <c r="B828" s="204"/>
      <c r="C828" s="206"/>
      <c r="D828" s="207"/>
      <c r="E828" s="208"/>
      <c r="F828" s="208"/>
      <c r="G828" s="208"/>
      <c r="H828" s="208"/>
      <c r="I828" s="208"/>
      <c r="J828" s="208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spans="1:26" ht="11.25" customHeight="1">
      <c r="A829" s="337"/>
      <c r="B829" s="204"/>
      <c r="C829" s="206"/>
      <c r="D829" s="207"/>
      <c r="E829" s="208"/>
      <c r="F829" s="208"/>
      <c r="G829" s="208"/>
      <c r="H829" s="208"/>
      <c r="I829" s="208"/>
      <c r="J829" s="208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spans="1:26" ht="11.25" customHeight="1">
      <c r="A830" s="337"/>
      <c r="B830" s="204"/>
      <c r="C830" s="206"/>
      <c r="D830" s="207"/>
      <c r="E830" s="208"/>
      <c r="F830" s="208"/>
      <c r="G830" s="208"/>
      <c r="H830" s="208"/>
      <c r="I830" s="208"/>
      <c r="J830" s="208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spans="1:26" ht="11.25" customHeight="1">
      <c r="A831" s="337"/>
      <c r="B831" s="204"/>
      <c r="C831" s="206"/>
      <c r="D831" s="207"/>
      <c r="E831" s="208"/>
      <c r="F831" s="208"/>
      <c r="G831" s="208"/>
      <c r="H831" s="208"/>
      <c r="I831" s="208"/>
      <c r="J831" s="208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spans="1:26" ht="11.25" customHeight="1">
      <c r="A832" s="337"/>
      <c r="B832" s="204"/>
      <c r="C832" s="206"/>
      <c r="D832" s="207"/>
      <c r="E832" s="208"/>
      <c r="F832" s="208"/>
      <c r="G832" s="208"/>
      <c r="H832" s="208"/>
      <c r="I832" s="208"/>
      <c r="J832" s="208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spans="1:26" ht="11.25" customHeight="1">
      <c r="A833" s="337"/>
      <c r="B833" s="204"/>
      <c r="C833" s="206"/>
      <c r="D833" s="207"/>
      <c r="E833" s="208"/>
      <c r="F833" s="208"/>
      <c r="G833" s="208"/>
      <c r="H833" s="208"/>
      <c r="I833" s="208"/>
      <c r="J833" s="208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spans="1:26" ht="11.25" customHeight="1">
      <c r="A834" s="337"/>
      <c r="B834" s="204"/>
      <c r="C834" s="206"/>
      <c r="D834" s="207"/>
      <c r="E834" s="208"/>
      <c r="F834" s="208"/>
      <c r="G834" s="208"/>
      <c r="H834" s="208"/>
      <c r="I834" s="208"/>
      <c r="J834" s="208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spans="1:26" ht="11.25" customHeight="1">
      <c r="A835" s="337"/>
      <c r="B835" s="204"/>
      <c r="C835" s="206"/>
      <c r="D835" s="207"/>
      <c r="E835" s="208"/>
      <c r="F835" s="208"/>
      <c r="G835" s="208"/>
      <c r="H835" s="208"/>
      <c r="I835" s="208"/>
      <c r="J835" s="208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spans="1:26" ht="11.25" customHeight="1">
      <c r="A836" s="337"/>
      <c r="B836" s="204"/>
      <c r="C836" s="206"/>
      <c r="D836" s="207"/>
      <c r="E836" s="208"/>
      <c r="F836" s="208"/>
      <c r="G836" s="208"/>
      <c r="H836" s="208"/>
      <c r="I836" s="208"/>
      <c r="J836" s="208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spans="1:26" ht="11.25" customHeight="1">
      <c r="A837" s="337"/>
      <c r="B837" s="204"/>
      <c r="C837" s="206"/>
      <c r="D837" s="207"/>
      <c r="E837" s="208"/>
      <c r="F837" s="208"/>
      <c r="G837" s="208"/>
      <c r="H837" s="208"/>
      <c r="I837" s="208"/>
      <c r="J837" s="208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spans="1:26" ht="11.25" customHeight="1">
      <c r="A838" s="337"/>
      <c r="B838" s="204"/>
      <c r="C838" s="206"/>
      <c r="D838" s="207"/>
      <c r="E838" s="208"/>
      <c r="F838" s="208"/>
      <c r="G838" s="208"/>
      <c r="H838" s="208"/>
      <c r="I838" s="208"/>
      <c r="J838" s="208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spans="1:26" ht="11.25" customHeight="1">
      <c r="A839" s="337"/>
      <c r="B839" s="204"/>
      <c r="C839" s="206"/>
      <c r="D839" s="207"/>
      <c r="E839" s="208"/>
      <c r="F839" s="208"/>
      <c r="G839" s="208"/>
      <c r="H839" s="208"/>
      <c r="I839" s="208"/>
      <c r="J839" s="208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spans="1:26" ht="11.25" customHeight="1">
      <c r="A840" s="337"/>
      <c r="B840" s="204"/>
      <c r="C840" s="206"/>
      <c r="D840" s="207"/>
      <c r="E840" s="208"/>
      <c r="F840" s="208"/>
      <c r="G840" s="208"/>
      <c r="H840" s="208"/>
      <c r="I840" s="208"/>
      <c r="J840" s="208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spans="1:26" ht="11.25" customHeight="1">
      <c r="A841" s="337"/>
      <c r="B841" s="204"/>
      <c r="C841" s="206"/>
      <c r="D841" s="207"/>
      <c r="E841" s="208"/>
      <c r="F841" s="208"/>
      <c r="G841" s="208"/>
      <c r="H841" s="208"/>
      <c r="I841" s="208"/>
      <c r="J841" s="208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spans="1:26" ht="11.25" customHeight="1">
      <c r="A842" s="337"/>
      <c r="B842" s="204"/>
      <c r="C842" s="206"/>
      <c r="D842" s="207"/>
      <c r="E842" s="208"/>
      <c r="F842" s="208"/>
      <c r="G842" s="208"/>
      <c r="H842" s="208"/>
      <c r="I842" s="208"/>
      <c r="J842" s="208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spans="1:26" ht="11.25" customHeight="1">
      <c r="A843" s="337"/>
      <c r="B843" s="204"/>
      <c r="C843" s="206"/>
      <c r="D843" s="207"/>
      <c r="E843" s="208"/>
      <c r="F843" s="208"/>
      <c r="G843" s="208"/>
      <c r="H843" s="208"/>
      <c r="I843" s="208"/>
      <c r="J843" s="208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spans="1:26" ht="11.25" customHeight="1">
      <c r="A844" s="337"/>
      <c r="B844" s="204"/>
      <c r="C844" s="206"/>
      <c r="D844" s="207"/>
      <c r="E844" s="208"/>
      <c r="F844" s="208"/>
      <c r="G844" s="208"/>
      <c r="H844" s="208"/>
      <c r="I844" s="208"/>
      <c r="J844" s="208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spans="1:26" ht="11.25" customHeight="1">
      <c r="A845" s="337"/>
      <c r="B845" s="204"/>
      <c r="C845" s="206"/>
      <c r="D845" s="207"/>
      <c r="E845" s="208"/>
      <c r="F845" s="208"/>
      <c r="G845" s="208"/>
      <c r="H845" s="208"/>
      <c r="I845" s="208"/>
      <c r="J845" s="208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spans="1:26" ht="11.25" customHeight="1">
      <c r="A846" s="337"/>
      <c r="B846" s="204"/>
      <c r="C846" s="206"/>
      <c r="D846" s="207"/>
      <c r="E846" s="208"/>
      <c r="F846" s="208"/>
      <c r="G846" s="208"/>
      <c r="H846" s="208"/>
      <c r="I846" s="208"/>
      <c r="J846" s="208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spans="1:26" ht="11.25" customHeight="1">
      <c r="A847" s="337"/>
      <c r="B847" s="204"/>
      <c r="C847" s="206"/>
      <c r="D847" s="207"/>
      <c r="E847" s="208"/>
      <c r="F847" s="208"/>
      <c r="G847" s="208"/>
      <c r="H847" s="208"/>
      <c r="I847" s="208"/>
      <c r="J847" s="208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spans="1:26" ht="11.25" customHeight="1">
      <c r="A848" s="337"/>
      <c r="B848" s="204"/>
      <c r="C848" s="206"/>
      <c r="D848" s="207"/>
      <c r="E848" s="208"/>
      <c r="F848" s="208"/>
      <c r="G848" s="208"/>
      <c r="H848" s="208"/>
      <c r="I848" s="208"/>
      <c r="J848" s="208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spans="1:26" ht="11.25" customHeight="1">
      <c r="A849" s="337"/>
      <c r="B849" s="204"/>
      <c r="C849" s="206"/>
      <c r="D849" s="207"/>
      <c r="E849" s="208"/>
      <c r="F849" s="208"/>
      <c r="G849" s="208"/>
      <c r="H849" s="208"/>
      <c r="I849" s="208"/>
      <c r="J849" s="208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spans="1:26" ht="11.25" customHeight="1">
      <c r="A850" s="337"/>
      <c r="B850" s="204"/>
      <c r="C850" s="206"/>
      <c r="D850" s="207"/>
      <c r="E850" s="208"/>
      <c r="F850" s="208"/>
      <c r="G850" s="208"/>
      <c r="H850" s="208"/>
      <c r="I850" s="208"/>
      <c r="J850" s="208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spans="1:26" ht="11.25" customHeight="1">
      <c r="A851" s="337"/>
      <c r="B851" s="204"/>
      <c r="C851" s="206"/>
      <c r="D851" s="207"/>
      <c r="E851" s="208"/>
      <c r="F851" s="208"/>
      <c r="G851" s="208"/>
      <c r="H851" s="208"/>
      <c r="I851" s="208"/>
      <c r="J851" s="208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spans="1:26" ht="11.25" customHeight="1">
      <c r="A852" s="337"/>
      <c r="B852" s="204"/>
      <c r="C852" s="206"/>
      <c r="D852" s="207"/>
      <c r="E852" s="208"/>
      <c r="F852" s="208"/>
      <c r="G852" s="208"/>
      <c r="H852" s="208"/>
      <c r="I852" s="208"/>
      <c r="J852" s="208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spans="1:26" ht="11.25" customHeight="1">
      <c r="A853" s="337"/>
      <c r="B853" s="204"/>
      <c r="C853" s="206"/>
      <c r="D853" s="207"/>
      <c r="E853" s="208"/>
      <c r="F853" s="208"/>
      <c r="G853" s="208"/>
      <c r="H853" s="208"/>
      <c r="I853" s="208"/>
      <c r="J853" s="208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spans="1:26" ht="11.25" customHeight="1">
      <c r="A854" s="337"/>
      <c r="B854" s="204"/>
      <c r="C854" s="206"/>
      <c r="D854" s="207"/>
      <c r="E854" s="208"/>
      <c r="F854" s="208"/>
      <c r="G854" s="208"/>
      <c r="H854" s="208"/>
      <c r="I854" s="208"/>
      <c r="J854" s="208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spans="1:26" ht="11.25" customHeight="1">
      <c r="A855" s="337"/>
      <c r="B855" s="204"/>
      <c r="C855" s="206"/>
      <c r="D855" s="207"/>
      <c r="E855" s="208"/>
      <c r="F855" s="208"/>
      <c r="G855" s="208"/>
      <c r="H855" s="208"/>
      <c r="I855" s="208"/>
      <c r="J855" s="208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spans="1:26" ht="11.25" customHeight="1">
      <c r="A856" s="337"/>
      <c r="B856" s="204"/>
      <c r="C856" s="206"/>
      <c r="D856" s="207"/>
      <c r="E856" s="208"/>
      <c r="F856" s="208"/>
      <c r="G856" s="208"/>
      <c r="H856" s="208"/>
      <c r="I856" s="208"/>
      <c r="J856" s="208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spans="1:26" ht="11.25" customHeight="1">
      <c r="A857" s="337"/>
      <c r="B857" s="204"/>
      <c r="C857" s="206"/>
      <c r="D857" s="207"/>
      <c r="E857" s="208"/>
      <c r="F857" s="208"/>
      <c r="G857" s="208"/>
      <c r="H857" s="208"/>
      <c r="I857" s="208"/>
      <c r="J857" s="208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spans="1:26" ht="11.25" customHeight="1">
      <c r="A858" s="337"/>
      <c r="B858" s="204"/>
      <c r="C858" s="206"/>
      <c r="D858" s="207"/>
      <c r="E858" s="208"/>
      <c r="F858" s="208"/>
      <c r="G858" s="208"/>
      <c r="H858" s="208"/>
      <c r="I858" s="208"/>
      <c r="J858" s="208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spans="1:26" ht="11.25" customHeight="1">
      <c r="A859" s="337"/>
      <c r="B859" s="204"/>
      <c r="C859" s="206"/>
      <c r="D859" s="207"/>
      <c r="E859" s="208"/>
      <c r="F859" s="208"/>
      <c r="G859" s="208"/>
      <c r="H859" s="208"/>
      <c r="I859" s="208"/>
      <c r="J859" s="208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spans="1:26" ht="11.25" customHeight="1">
      <c r="A860" s="337"/>
      <c r="B860" s="204"/>
      <c r="C860" s="206"/>
      <c r="D860" s="207"/>
      <c r="E860" s="208"/>
      <c r="F860" s="208"/>
      <c r="G860" s="208"/>
      <c r="H860" s="208"/>
      <c r="I860" s="208"/>
      <c r="J860" s="208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spans="1:26" ht="11.25" customHeight="1">
      <c r="A861" s="337"/>
      <c r="B861" s="204"/>
      <c r="C861" s="206"/>
      <c r="D861" s="207"/>
      <c r="E861" s="208"/>
      <c r="F861" s="208"/>
      <c r="G861" s="208"/>
      <c r="H861" s="208"/>
      <c r="I861" s="208"/>
      <c r="J861" s="208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spans="1:26" ht="11.25" customHeight="1">
      <c r="A862" s="337"/>
      <c r="B862" s="204"/>
      <c r="C862" s="206"/>
      <c r="D862" s="207"/>
      <c r="E862" s="208"/>
      <c r="F862" s="208"/>
      <c r="G862" s="208"/>
      <c r="H862" s="208"/>
      <c r="I862" s="208"/>
      <c r="J862" s="208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spans="1:26" ht="11.25" customHeight="1">
      <c r="A863" s="337"/>
      <c r="B863" s="204"/>
      <c r="C863" s="206"/>
      <c r="D863" s="207"/>
      <c r="E863" s="208"/>
      <c r="F863" s="208"/>
      <c r="G863" s="208"/>
      <c r="H863" s="208"/>
      <c r="I863" s="208"/>
      <c r="J863" s="208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spans="1:26" ht="11.25" customHeight="1">
      <c r="A864" s="337"/>
      <c r="B864" s="204"/>
      <c r="C864" s="206"/>
      <c r="D864" s="207"/>
      <c r="E864" s="208"/>
      <c r="F864" s="208"/>
      <c r="G864" s="208"/>
      <c r="H864" s="208"/>
      <c r="I864" s="208"/>
      <c r="J864" s="208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spans="1:26" ht="11.25" customHeight="1">
      <c r="A865" s="337"/>
      <c r="B865" s="204"/>
      <c r="C865" s="206"/>
      <c r="D865" s="207"/>
      <c r="E865" s="208"/>
      <c r="F865" s="208"/>
      <c r="G865" s="208"/>
      <c r="H865" s="208"/>
      <c r="I865" s="208"/>
      <c r="J865" s="208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spans="1:26" ht="11.25" customHeight="1">
      <c r="A866" s="337"/>
      <c r="B866" s="204"/>
      <c r="C866" s="206"/>
      <c r="D866" s="207"/>
      <c r="E866" s="208"/>
      <c r="F866" s="208"/>
      <c r="G866" s="208"/>
      <c r="H866" s="208"/>
      <c r="I866" s="208"/>
      <c r="J866" s="208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spans="1:26" ht="11.25" customHeight="1">
      <c r="A867" s="337"/>
      <c r="B867" s="204"/>
      <c r="C867" s="206"/>
      <c r="D867" s="207"/>
      <c r="E867" s="208"/>
      <c r="F867" s="208"/>
      <c r="G867" s="208"/>
      <c r="H867" s="208"/>
      <c r="I867" s="208"/>
      <c r="J867" s="208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spans="1:26" ht="11.25" customHeight="1">
      <c r="A868" s="337"/>
      <c r="B868" s="204"/>
      <c r="C868" s="206"/>
      <c r="D868" s="207"/>
      <c r="E868" s="208"/>
      <c r="F868" s="208"/>
      <c r="G868" s="208"/>
      <c r="H868" s="208"/>
      <c r="I868" s="208"/>
      <c r="J868" s="208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spans="1:26" ht="11.25" customHeight="1">
      <c r="A869" s="337"/>
      <c r="B869" s="204"/>
      <c r="C869" s="206"/>
      <c r="D869" s="207"/>
      <c r="E869" s="208"/>
      <c r="F869" s="208"/>
      <c r="G869" s="208"/>
      <c r="H869" s="208"/>
      <c r="I869" s="208"/>
      <c r="J869" s="208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spans="1:26" ht="11.25" customHeight="1">
      <c r="A870" s="337"/>
      <c r="B870" s="204"/>
      <c r="C870" s="206"/>
      <c r="D870" s="207"/>
      <c r="E870" s="208"/>
      <c r="F870" s="208"/>
      <c r="G870" s="208"/>
      <c r="H870" s="208"/>
      <c r="I870" s="208"/>
      <c r="J870" s="208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spans="1:26" ht="11.25" customHeight="1">
      <c r="A871" s="337"/>
      <c r="B871" s="204"/>
      <c r="C871" s="206"/>
      <c r="D871" s="207"/>
      <c r="E871" s="208"/>
      <c r="F871" s="208"/>
      <c r="G871" s="208"/>
      <c r="H871" s="208"/>
      <c r="I871" s="208"/>
      <c r="J871" s="208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spans="1:26" ht="11.25" customHeight="1">
      <c r="A872" s="337"/>
      <c r="B872" s="204"/>
      <c r="C872" s="206"/>
      <c r="D872" s="207"/>
      <c r="E872" s="208"/>
      <c r="F872" s="208"/>
      <c r="G872" s="208"/>
      <c r="H872" s="208"/>
      <c r="I872" s="208"/>
      <c r="J872" s="208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spans="1:26" ht="11.25" customHeight="1">
      <c r="A873" s="337"/>
      <c r="B873" s="204"/>
      <c r="C873" s="206"/>
      <c r="D873" s="207"/>
      <c r="E873" s="208"/>
      <c r="F873" s="208"/>
      <c r="G873" s="208"/>
      <c r="H873" s="208"/>
      <c r="I873" s="208"/>
      <c r="J873" s="208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spans="1:26" ht="11.25" customHeight="1">
      <c r="A874" s="337"/>
      <c r="B874" s="204"/>
      <c r="C874" s="206"/>
      <c r="D874" s="207"/>
      <c r="E874" s="208"/>
      <c r="F874" s="208"/>
      <c r="G874" s="208"/>
      <c r="H874" s="208"/>
      <c r="I874" s="208"/>
      <c r="J874" s="208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spans="1:26" ht="11.25" customHeight="1">
      <c r="A875" s="337"/>
      <c r="B875" s="204"/>
      <c r="C875" s="206"/>
      <c r="D875" s="207"/>
      <c r="E875" s="208"/>
      <c r="F875" s="208"/>
      <c r="G875" s="208"/>
      <c r="H875" s="208"/>
      <c r="I875" s="208"/>
      <c r="J875" s="208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spans="1:26" ht="11.25" customHeight="1">
      <c r="A876" s="337"/>
      <c r="B876" s="204"/>
      <c r="C876" s="206"/>
      <c r="D876" s="207"/>
      <c r="E876" s="208"/>
      <c r="F876" s="208"/>
      <c r="G876" s="208"/>
      <c r="H876" s="208"/>
      <c r="I876" s="208"/>
      <c r="J876" s="208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spans="1:26" ht="11.25" customHeight="1">
      <c r="A877" s="337"/>
      <c r="B877" s="204"/>
      <c r="C877" s="206"/>
      <c r="D877" s="207"/>
      <c r="E877" s="208"/>
      <c r="F877" s="208"/>
      <c r="G877" s="208"/>
      <c r="H877" s="208"/>
      <c r="I877" s="208"/>
      <c r="J877" s="208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spans="1:26" ht="11.25" customHeight="1">
      <c r="A878" s="337"/>
      <c r="B878" s="204"/>
      <c r="C878" s="206"/>
      <c r="D878" s="207"/>
      <c r="E878" s="208"/>
      <c r="F878" s="208"/>
      <c r="G878" s="208"/>
      <c r="H878" s="208"/>
      <c r="I878" s="208"/>
      <c r="J878" s="208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spans="1:26" ht="11.25" customHeight="1">
      <c r="A879" s="337"/>
      <c r="B879" s="204"/>
      <c r="C879" s="206"/>
      <c r="D879" s="207"/>
      <c r="E879" s="208"/>
      <c r="F879" s="208"/>
      <c r="G879" s="208"/>
      <c r="H879" s="208"/>
      <c r="I879" s="208"/>
      <c r="J879" s="208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spans="1:26" ht="11.25" customHeight="1">
      <c r="A880" s="337"/>
      <c r="B880" s="204"/>
      <c r="C880" s="206"/>
      <c r="D880" s="207"/>
      <c r="E880" s="208"/>
      <c r="F880" s="208"/>
      <c r="G880" s="208"/>
      <c r="H880" s="208"/>
      <c r="I880" s="208"/>
      <c r="J880" s="208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spans="1:26" ht="11.25" customHeight="1">
      <c r="A881" s="337"/>
      <c r="B881" s="204"/>
      <c r="C881" s="206"/>
      <c r="D881" s="207"/>
      <c r="E881" s="208"/>
      <c r="F881" s="208"/>
      <c r="G881" s="208"/>
      <c r="H881" s="208"/>
      <c r="I881" s="208"/>
      <c r="J881" s="208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spans="1:26" ht="11.25" customHeight="1">
      <c r="A882" s="337"/>
      <c r="B882" s="204"/>
      <c r="C882" s="206"/>
      <c r="D882" s="207"/>
      <c r="E882" s="208"/>
      <c r="F882" s="208"/>
      <c r="G882" s="208"/>
      <c r="H882" s="208"/>
      <c r="I882" s="208"/>
      <c r="J882" s="208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spans="1:26" ht="11.25" customHeight="1">
      <c r="A883" s="337"/>
      <c r="B883" s="204"/>
      <c r="C883" s="206"/>
      <c r="D883" s="207"/>
      <c r="E883" s="208"/>
      <c r="F883" s="208"/>
      <c r="G883" s="208"/>
      <c r="H883" s="208"/>
      <c r="I883" s="208"/>
      <c r="J883" s="208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spans="1:26" ht="11.25" customHeight="1">
      <c r="A884" s="337"/>
      <c r="B884" s="204"/>
      <c r="C884" s="206"/>
      <c r="D884" s="207"/>
      <c r="E884" s="208"/>
      <c r="F884" s="208"/>
      <c r="G884" s="208"/>
      <c r="H884" s="208"/>
      <c r="I884" s="208"/>
      <c r="J884" s="208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spans="1:26" ht="11.25" customHeight="1">
      <c r="A885" s="337"/>
      <c r="B885" s="204"/>
      <c r="C885" s="206"/>
      <c r="D885" s="207"/>
      <c r="E885" s="208"/>
      <c r="F885" s="208"/>
      <c r="G885" s="208"/>
      <c r="H885" s="208"/>
      <c r="I885" s="208"/>
      <c r="J885" s="208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spans="1:26" ht="11.25" customHeight="1">
      <c r="A886" s="337"/>
      <c r="B886" s="204"/>
      <c r="C886" s="206"/>
      <c r="D886" s="207"/>
      <c r="E886" s="208"/>
      <c r="F886" s="208"/>
      <c r="G886" s="208"/>
      <c r="H886" s="208"/>
      <c r="I886" s="208"/>
      <c r="J886" s="208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spans="1:26" ht="11.25" customHeight="1">
      <c r="A887" s="337"/>
      <c r="B887" s="204"/>
      <c r="C887" s="206"/>
      <c r="D887" s="207"/>
      <c r="E887" s="208"/>
      <c r="F887" s="208"/>
      <c r="G887" s="208"/>
      <c r="H887" s="208"/>
      <c r="I887" s="208"/>
      <c r="J887" s="208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spans="1:26" ht="11.25" customHeight="1">
      <c r="A888" s="337"/>
      <c r="B888" s="204"/>
      <c r="C888" s="206"/>
      <c r="D888" s="207"/>
      <c r="E888" s="208"/>
      <c r="F888" s="208"/>
      <c r="G888" s="208"/>
      <c r="H888" s="208"/>
      <c r="I888" s="208"/>
      <c r="J888" s="208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spans="1:26" ht="11.25" customHeight="1">
      <c r="A889" s="337"/>
      <c r="B889" s="204"/>
      <c r="C889" s="206"/>
      <c r="D889" s="207"/>
      <c r="E889" s="208"/>
      <c r="F889" s="208"/>
      <c r="G889" s="208"/>
      <c r="H889" s="208"/>
      <c r="I889" s="208"/>
      <c r="J889" s="208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spans="1:26" ht="11.25" customHeight="1">
      <c r="A890" s="337"/>
      <c r="B890" s="204"/>
      <c r="C890" s="206"/>
      <c r="D890" s="207"/>
      <c r="E890" s="208"/>
      <c r="F890" s="208"/>
      <c r="G890" s="208"/>
      <c r="H890" s="208"/>
      <c r="I890" s="208"/>
      <c r="J890" s="208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spans="1:26" ht="11.25" customHeight="1">
      <c r="A891" s="337"/>
      <c r="B891" s="204"/>
      <c r="C891" s="206"/>
      <c r="D891" s="207"/>
      <c r="E891" s="208"/>
      <c r="F891" s="208"/>
      <c r="G891" s="208"/>
      <c r="H891" s="208"/>
      <c r="I891" s="208"/>
      <c r="J891" s="208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spans="1:26" ht="11.25" customHeight="1">
      <c r="A892" s="337"/>
      <c r="B892" s="204"/>
      <c r="C892" s="206"/>
      <c r="D892" s="207"/>
      <c r="E892" s="208"/>
      <c r="F892" s="208"/>
      <c r="G892" s="208"/>
      <c r="H892" s="208"/>
      <c r="I892" s="208"/>
      <c r="J892" s="208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spans="1:26" ht="11.25" customHeight="1">
      <c r="A893" s="337"/>
      <c r="B893" s="204"/>
      <c r="C893" s="206"/>
      <c r="D893" s="207"/>
      <c r="E893" s="208"/>
      <c r="F893" s="208"/>
      <c r="G893" s="208"/>
      <c r="H893" s="208"/>
      <c r="I893" s="208"/>
      <c r="J893" s="208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spans="1:26" ht="11.25" customHeight="1">
      <c r="A894" s="337"/>
      <c r="B894" s="204"/>
      <c r="C894" s="206"/>
      <c r="D894" s="207"/>
      <c r="E894" s="208"/>
      <c r="F894" s="208"/>
      <c r="G894" s="208"/>
      <c r="H894" s="208"/>
      <c r="I894" s="208"/>
      <c r="J894" s="208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spans="1:26" ht="11.25" customHeight="1">
      <c r="A895" s="337"/>
      <c r="B895" s="204"/>
      <c r="C895" s="206"/>
      <c r="D895" s="207"/>
      <c r="E895" s="208"/>
      <c r="F895" s="208"/>
      <c r="G895" s="208"/>
      <c r="H895" s="208"/>
      <c r="I895" s="208"/>
      <c r="J895" s="208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spans="1:26" ht="11.25" customHeight="1">
      <c r="A896" s="337"/>
      <c r="B896" s="204"/>
      <c r="C896" s="206"/>
      <c r="D896" s="207"/>
      <c r="E896" s="208"/>
      <c r="F896" s="208"/>
      <c r="G896" s="208"/>
      <c r="H896" s="208"/>
      <c r="I896" s="208"/>
      <c r="J896" s="208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spans="1:26" ht="11.25" customHeight="1">
      <c r="A897" s="337"/>
      <c r="B897" s="204"/>
      <c r="C897" s="206"/>
      <c r="D897" s="207"/>
      <c r="E897" s="208"/>
      <c r="F897" s="208"/>
      <c r="G897" s="208"/>
      <c r="H897" s="208"/>
      <c r="I897" s="208"/>
      <c r="J897" s="208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spans="1:26" ht="11.25" customHeight="1">
      <c r="A898" s="337"/>
      <c r="B898" s="204"/>
      <c r="C898" s="206"/>
      <c r="D898" s="207"/>
      <c r="E898" s="208"/>
      <c r="F898" s="208"/>
      <c r="G898" s="208"/>
      <c r="H898" s="208"/>
      <c r="I898" s="208"/>
      <c r="J898" s="208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spans="1:26" ht="11.25" customHeight="1">
      <c r="A899" s="337"/>
      <c r="B899" s="204"/>
      <c r="C899" s="206"/>
      <c r="D899" s="207"/>
      <c r="E899" s="208"/>
      <c r="F899" s="208"/>
      <c r="G899" s="208"/>
      <c r="H899" s="208"/>
      <c r="I899" s="208"/>
      <c r="J899" s="208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spans="1:26" ht="11.25" customHeight="1">
      <c r="A900" s="337"/>
      <c r="B900" s="204"/>
      <c r="C900" s="206"/>
      <c r="D900" s="207"/>
      <c r="E900" s="208"/>
      <c r="F900" s="208"/>
      <c r="G900" s="208"/>
      <c r="H900" s="208"/>
      <c r="I900" s="208"/>
      <c r="J900" s="208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spans="1:26" ht="11.25" customHeight="1">
      <c r="A901" s="337"/>
      <c r="B901" s="204"/>
      <c r="C901" s="206"/>
      <c r="D901" s="207"/>
      <c r="E901" s="208"/>
      <c r="F901" s="208"/>
      <c r="G901" s="208"/>
      <c r="H901" s="208"/>
      <c r="I901" s="208"/>
      <c r="J901" s="208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spans="1:26" ht="11.25" customHeight="1">
      <c r="A902" s="337"/>
      <c r="B902" s="204"/>
      <c r="C902" s="206"/>
      <c r="D902" s="207"/>
      <c r="E902" s="208"/>
      <c r="F902" s="208"/>
      <c r="G902" s="208"/>
      <c r="H902" s="208"/>
      <c r="I902" s="208"/>
      <c r="J902" s="208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spans="1:26" ht="11.25" customHeight="1">
      <c r="A903" s="337"/>
      <c r="B903" s="204"/>
      <c r="C903" s="206"/>
      <c r="D903" s="207"/>
      <c r="E903" s="208"/>
      <c r="F903" s="208"/>
      <c r="G903" s="208"/>
      <c r="H903" s="208"/>
      <c r="I903" s="208"/>
      <c r="J903" s="208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spans="1:26" ht="11.25" customHeight="1">
      <c r="A904" s="337"/>
      <c r="B904" s="204"/>
      <c r="C904" s="206"/>
      <c r="D904" s="207"/>
      <c r="E904" s="208"/>
      <c r="F904" s="208"/>
      <c r="G904" s="208"/>
      <c r="H904" s="208"/>
      <c r="I904" s="208"/>
      <c r="J904" s="208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spans="1:26" ht="11.25" customHeight="1">
      <c r="A905" s="337"/>
      <c r="B905" s="204"/>
      <c r="C905" s="206"/>
      <c r="D905" s="207"/>
      <c r="E905" s="208"/>
      <c r="F905" s="208"/>
      <c r="G905" s="208"/>
      <c r="H905" s="208"/>
      <c r="I905" s="208"/>
      <c r="J905" s="208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spans="1:26" ht="11.25" customHeight="1">
      <c r="A906" s="337"/>
      <c r="B906" s="204"/>
      <c r="C906" s="206"/>
      <c r="D906" s="207"/>
      <c r="E906" s="208"/>
      <c r="F906" s="208"/>
      <c r="G906" s="208"/>
      <c r="H906" s="208"/>
      <c r="I906" s="208"/>
      <c r="J906" s="208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spans="1:26" ht="11.25" customHeight="1">
      <c r="A907" s="337"/>
      <c r="B907" s="204"/>
      <c r="C907" s="206"/>
      <c r="D907" s="207"/>
      <c r="E907" s="208"/>
      <c r="F907" s="208"/>
      <c r="G907" s="208"/>
      <c r="H907" s="208"/>
      <c r="I907" s="208"/>
      <c r="J907" s="208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spans="1:26" ht="11.25" customHeight="1">
      <c r="A908" s="337"/>
      <c r="B908" s="204"/>
      <c r="C908" s="206"/>
      <c r="D908" s="207"/>
      <c r="E908" s="208"/>
      <c r="F908" s="208"/>
      <c r="G908" s="208"/>
      <c r="H908" s="208"/>
      <c r="I908" s="208"/>
      <c r="J908" s="208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spans="1:26" ht="11.25" customHeight="1">
      <c r="A909" s="337"/>
      <c r="B909" s="204"/>
      <c r="C909" s="206"/>
      <c r="D909" s="207"/>
      <c r="E909" s="208"/>
      <c r="F909" s="208"/>
      <c r="G909" s="208"/>
      <c r="H909" s="208"/>
      <c r="I909" s="208"/>
      <c r="J909" s="208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spans="1:26" ht="11.25" customHeight="1">
      <c r="A910" s="337"/>
      <c r="B910" s="204"/>
      <c r="C910" s="206"/>
      <c r="D910" s="207"/>
      <c r="E910" s="208"/>
      <c r="F910" s="208"/>
      <c r="G910" s="208"/>
      <c r="H910" s="208"/>
      <c r="I910" s="208"/>
      <c r="J910" s="208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spans="1:26" ht="11.25" customHeight="1">
      <c r="A911" s="337"/>
      <c r="B911" s="204"/>
      <c r="C911" s="206"/>
      <c r="D911" s="207"/>
      <c r="E911" s="208"/>
      <c r="F911" s="208"/>
      <c r="G911" s="208"/>
      <c r="H911" s="208"/>
      <c r="I911" s="208"/>
      <c r="J911" s="208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spans="1:26" ht="11.25" customHeight="1">
      <c r="A912" s="337"/>
      <c r="B912" s="204"/>
      <c r="C912" s="206"/>
      <c r="D912" s="207"/>
      <c r="E912" s="208"/>
      <c r="F912" s="208"/>
      <c r="G912" s="208"/>
      <c r="H912" s="208"/>
      <c r="I912" s="208"/>
      <c r="J912" s="208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spans="1:26" ht="11.25" customHeight="1">
      <c r="A913" s="337"/>
      <c r="B913" s="204"/>
      <c r="C913" s="206"/>
      <c r="D913" s="207"/>
      <c r="E913" s="208"/>
      <c r="F913" s="208"/>
      <c r="G913" s="208"/>
      <c r="H913" s="208"/>
      <c r="I913" s="208"/>
      <c r="J913" s="208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spans="1:26" ht="11.25" customHeight="1">
      <c r="A914" s="337"/>
      <c r="B914" s="204"/>
      <c r="C914" s="206"/>
      <c r="D914" s="207"/>
      <c r="E914" s="208"/>
      <c r="F914" s="208"/>
      <c r="G914" s="208"/>
      <c r="H914" s="208"/>
      <c r="I914" s="208"/>
      <c r="J914" s="208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spans="1:26" ht="11.25" customHeight="1">
      <c r="A915" s="337"/>
      <c r="B915" s="204"/>
      <c r="C915" s="206"/>
      <c r="D915" s="207"/>
      <c r="E915" s="208"/>
      <c r="F915" s="208"/>
      <c r="G915" s="208"/>
      <c r="H915" s="208"/>
      <c r="I915" s="208"/>
      <c r="J915" s="208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spans="1:26" ht="11.25" customHeight="1">
      <c r="A916" s="337"/>
      <c r="B916" s="204"/>
      <c r="C916" s="206"/>
      <c r="D916" s="207"/>
      <c r="E916" s="208"/>
      <c r="F916" s="208"/>
      <c r="G916" s="208"/>
      <c r="H916" s="208"/>
      <c r="I916" s="208"/>
      <c r="J916" s="208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spans="1:26" ht="11.25" customHeight="1">
      <c r="A917" s="337"/>
      <c r="B917" s="204"/>
      <c r="C917" s="206"/>
      <c r="D917" s="207"/>
      <c r="E917" s="208"/>
      <c r="F917" s="208"/>
      <c r="G917" s="208"/>
      <c r="H917" s="208"/>
      <c r="I917" s="208"/>
      <c r="J917" s="208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spans="1:26" ht="11.25" customHeight="1">
      <c r="A918" s="337"/>
      <c r="B918" s="204"/>
      <c r="C918" s="206"/>
      <c r="D918" s="207"/>
      <c r="E918" s="208"/>
      <c r="F918" s="208"/>
      <c r="G918" s="208"/>
      <c r="H918" s="208"/>
      <c r="I918" s="208"/>
      <c r="J918" s="208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spans="1:26" ht="11.25" customHeight="1">
      <c r="A919" s="337"/>
      <c r="B919" s="204"/>
      <c r="C919" s="206"/>
      <c r="D919" s="207"/>
      <c r="E919" s="208"/>
      <c r="F919" s="208"/>
      <c r="G919" s="208"/>
      <c r="H919" s="208"/>
      <c r="I919" s="208"/>
      <c r="J919" s="208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spans="1:26" ht="11.25" customHeight="1">
      <c r="A920" s="337"/>
      <c r="B920" s="204"/>
      <c r="C920" s="206"/>
      <c r="D920" s="207"/>
      <c r="E920" s="208"/>
      <c r="F920" s="208"/>
      <c r="G920" s="208"/>
      <c r="H920" s="208"/>
      <c r="I920" s="208"/>
      <c r="J920" s="208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spans="1:26" ht="11.25" customHeight="1">
      <c r="A921" s="337"/>
      <c r="B921" s="204"/>
      <c r="C921" s="206"/>
      <c r="D921" s="207"/>
      <c r="E921" s="208"/>
      <c r="F921" s="208"/>
      <c r="G921" s="208"/>
      <c r="H921" s="208"/>
      <c r="I921" s="208"/>
      <c r="J921" s="208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spans="1:26" ht="11.25" customHeight="1">
      <c r="A922" s="337"/>
      <c r="B922" s="204"/>
      <c r="C922" s="206"/>
      <c r="D922" s="207"/>
      <c r="E922" s="208"/>
      <c r="F922" s="208"/>
      <c r="G922" s="208"/>
      <c r="H922" s="208"/>
      <c r="I922" s="208"/>
      <c r="J922" s="208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spans="1:26" ht="11.25" customHeight="1">
      <c r="A923" s="337"/>
      <c r="B923" s="204"/>
      <c r="C923" s="206"/>
      <c r="D923" s="207"/>
      <c r="E923" s="208"/>
      <c r="F923" s="208"/>
      <c r="G923" s="208"/>
      <c r="H923" s="208"/>
      <c r="I923" s="208"/>
      <c r="J923" s="208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spans="1:26" ht="11.25" customHeight="1">
      <c r="A924" s="337"/>
      <c r="B924" s="204"/>
      <c r="C924" s="206"/>
      <c r="D924" s="207"/>
      <c r="E924" s="208"/>
      <c r="F924" s="208"/>
      <c r="G924" s="208"/>
      <c r="H924" s="208"/>
      <c r="I924" s="208"/>
      <c r="J924" s="208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spans="1:26" ht="11.25" customHeight="1">
      <c r="A925" s="337"/>
      <c r="B925" s="204"/>
      <c r="C925" s="206"/>
      <c r="D925" s="207"/>
      <c r="E925" s="208"/>
      <c r="F925" s="208"/>
      <c r="G925" s="208"/>
      <c r="H925" s="208"/>
      <c r="I925" s="208"/>
      <c r="J925" s="208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spans="1:26" ht="11.25" customHeight="1">
      <c r="A926" s="337"/>
      <c r="B926" s="204"/>
      <c r="C926" s="206"/>
      <c r="D926" s="207"/>
      <c r="E926" s="208"/>
      <c r="F926" s="208"/>
      <c r="G926" s="208"/>
      <c r="H926" s="208"/>
      <c r="I926" s="208"/>
      <c r="J926" s="208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spans="1:26" ht="11.25" customHeight="1">
      <c r="A927" s="337"/>
      <c r="B927" s="204"/>
      <c r="C927" s="206"/>
      <c r="D927" s="207"/>
      <c r="E927" s="208"/>
      <c r="F927" s="208"/>
      <c r="G927" s="208"/>
      <c r="H927" s="208"/>
      <c r="I927" s="208"/>
      <c r="J927" s="208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spans="1:26" ht="11.25" customHeight="1">
      <c r="A928" s="337"/>
      <c r="B928" s="204"/>
      <c r="C928" s="206"/>
      <c r="D928" s="207"/>
      <c r="E928" s="208"/>
      <c r="F928" s="208"/>
      <c r="G928" s="208"/>
      <c r="H928" s="208"/>
      <c r="I928" s="208"/>
      <c r="J928" s="208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spans="1:26" ht="11.25" customHeight="1">
      <c r="A929" s="337"/>
      <c r="B929" s="204"/>
      <c r="C929" s="206"/>
      <c r="D929" s="207"/>
      <c r="E929" s="208"/>
      <c r="F929" s="208"/>
      <c r="G929" s="208"/>
      <c r="H929" s="208"/>
      <c r="I929" s="208"/>
      <c r="J929" s="208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spans="1:26" ht="11.25" customHeight="1">
      <c r="A930" s="337"/>
      <c r="B930" s="204"/>
      <c r="C930" s="206"/>
      <c r="D930" s="207"/>
      <c r="E930" s="208"/>
      <c r="F930" s="208"/>
      <c r="G930" s="208"/>
      <c r="H930" s="208"/>
      <c r="I930" s="208"/>
      <c r="J930" s="208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spans="1:26" ht="11.25" customHeight="1">
      <c r="A931" s="337"/>
      <c r="B931" s="204"/>
      <c r="C931" s="206"/>
      <c r="D931" s="207"/>
      <c r="E931" s="208"/>
      <c r="F931" s="208"/>
      <c r="G931" s="208"/>
      <c r="H931" s="208"/>
      <c r="I931" s="208"/>
      <c r="J931" s="208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spans="1:26" ht="11.25" customHeight="1">
      <c r="A932" s="337"/>
      <c r="B932" s="204"/>
      <c r="C932" s="206"/>
      <c r="D932" s="207"/>
      <c r="E932" s="208"/>
      <c r="F932" s="208"/>
      <c r="G932" s="208"/>
      <c r="H932" s="208"/>
      <c r="I932" s="208"/>
      <c r="J932" s="208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spans="1:26" ht="11.25" customHeight="1">
      <c r="A933" s="337"/>
      <c r="B933" s="204"/>
      <c r="C933" s="206"/>
      <c r="D933" s="207"/>
      <c r="E933" s="208"/>
      <c r="F933" s="208"/>
      <c r="G933" s="208"/>
      <c r="H933" s="208"/>
      <c r="I933" s="208"/>
      <c r="J933" s="208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spans="1:26" ht="11.25" customHeight="1">
      <c r="A934" s="337"/>
      <c r="B934" s="204"/>
      <c r="C934" s="206"/>
      <c r="D934" s="207"/>
      <c r="E934" s="208"/>
      <c r="F934" s="208"/>
      <c r="G934" s="208"/>
      <c r="H934" s="208"/>
      <c r="I934" s="208"/>
      <c r="J934" s="208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spans="1:26" ht="11.25" customHeight="1">
      <c r="A935" s="337"/>
      <c r="B935" s="204"/>
      <c r="C935" s="206"/>
      <c r="D935" s="207"/>
      <c r="E935" s="208"/>
      <c r="F935" s="208"/>
      <c r="G935" s="208"/>
      <c r="H935" s="208"/>
      <c r="I935" s="208"/>
      <c r="J935" s="208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spans="1:26" ht="11.25" customHeight="1">
      <c r="A936" s="337"/>
      <c r="B936" s="204"/>
      <c r="C936" s="206"/>
      <c r="D936" s="207"/>
      <c r="E936" s="208"/>
      <c r="F936" s="208"/>
      <c r="G936" s="208"/>
      <c r="H936" s="208"/>
      <c r="I936" s="208"/>
      <c r="J936" s="208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spans="1:26" ht="11.25" customHeight="1">
      <c r="A937" s="337"/>
      <c r="B937" s="204"/>
      <c r="C937" s="206"/>
      <c r="D937" s="207"/>
      <c r="E937" s="208"/>
      <c r="F937" s="208"/>
      <c r="G937" s="208"/>
      <c r="H937" s="208"/>
      <c r="I937" s="208"/>
      <c r="J937" s="208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spans="1:26" ht="11.25" customHeight="1">
      <c r="A938" s="337"/>
      <c r="B938" s="204"/>
      <c r="C938" s="206"/>
      <c r="D938" s="207"/>
      <c r="E938" s="208"/>
      <c r="F938" s="208"/>
      <c r="G938" s="208"/>
      <c r="H938" s="208"/>
      <c r="I938" s="208"/>
      <c r="J938" s="208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spans="1:26" ht="11.25" customHeight="1">
      <c r="A939" s="337"/>
      <c r="B939" s="204"/>
      <c r="C939" s="206"/>
      <c r="D939" s="207"/>
      <c r="E939" s="208"/>
      <c r="F939" s="208"/>
      <c r="G939" s="208"/>
      <c r="H939" s="208"/>
      <c r="I939" s="208"/>
      <c r="J939" s="208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spans="1:26" ht="11.25" customHeight="1">
      <c r="A940" s="337"/>
      <c r="B940" s="204"/>
      <c r="C940" s="206"/>
      <c r="D940" s="207"/>
      <c r="E940" s="208"/>
      <c r="F940" s="208"/>
      <c r="G940" s="208"/>
      <c r="H940" s="208"/>
      <c r="I940" s="208"/>
      <c r="J940" s="208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spans="1:26" ht="11.25" customHeight="1">
      <c r="A941" s="337"/>
      <c r="B941" s="204"/>
      <c r="C941" s="206"/>
      <c r="D941" s="207"/>
      <c r="E941" s="208"/>
      <c r="F941" s="208"/>
      <c r="G941" s="208"/>
      <c r="H941" s="208"/>
      <c r="I941" s="208"/>
      <c r="J941" s="208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spans="1:26" ht="11.25" customHeight="1">
      <c r="A942" s="337"/>
      <c r="B942" s="204"/>
      <c r="C942" s="206"/>
      <c r="D942" s="207"/>
      <c r="E942" s="208"/>
      <c r="F942" s="208"/>
      <c r="G942" s="208"/>
      <c r="H942" s="208"/>
      <c r="I942" s="208"/>
      <c r="J942" s="208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spans="1:26" ht="11.25" customHeight="1">
      <c r="A943" s="337"/>
      <c r="B943" s="204"/>
      <c r="C943" s="206"/>
      <c r="D943" s="207"/>
      <c r="E943" s="208"/>
      <c r="F943" s="208"/>
      <c r="G943" s="208"/>
      <c r="H943" s="208"/>
      <c r="I943" s="208"/>
      <c r="J943" s="208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spans="1:26" ht="11.25" customHeight="1">
      <c r="A944" s="337"/>
      <c r="B944" s="204"/>
      <c r="C944" s="206"/>
      <c r="D944" s="207"/>
      <c r="E944" s="208"/>
      <c r="F944" s="208"/>
      <c r="G944" s="208"/>
      <c r="H944" s="208"/>
      <c r="I944" s="208"/>
      <c r="J944" s="208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spans="1:26" ht="11.25" customHeight="1">
      <c r="A945" s="337"/>
      <c r="B945" s="204"/>
      <c r="C945" s="206"/>
      <c r="D945" s="207"/>
      <c r="E945" s="208"/>
      <c r="F945" s="208"/>
      <c r="G945" s="208"/>
      <c r="H945" s="208"/>
      <c r="I945" s="208"/>
      <c r="J945" s="208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spans="1:26" ht="11.25" customHeight="1">
      <c r="A946" s="337"/>
      <c r="B946" s="204"/>
      <c r="C946" s="206"/>
      <c r="D946" s="207"/>
      <c r="E946" s="208"/>
      <c r="F946" s="208"/>
      <c r="G946" s="208"/>
      <c r="H946" s="208"/>
      <c r="I946" s="208"/>
      <c r="J946" s="208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spans="1:26" ht="11.25" customHeight="1">
      <c r="A947" s="337"/>
      <c r="B947" s="204"/>
      <c r="C947" s="206"/>
      <c r="D947" s="207"/>
      <c r="E947" s="208"/>
      <c r="F947" s="208"/>
      <c r="G947" s="208"/>
      <c r="H947" s="208"/>
      <c r="I947" s="208"/>
      <c r="J947" s="208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spans="1:26" ht="11.25" customHeight="1">
      <c r="A948" s="337"/>
      <c r="B948" s="204"/>
      <c r="C948" s="206"/>
      <c r="D948" s="207"/>
      <c r="E948" s="208"/>
      <c r="F948" s="208"/>
      <c r="G948" s="208"/>
      <c r="H948" s="208"/>
      <c r="I948" s="208"/>
      <c r="J948" s="208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spans="1:26" ht="11.25" customHeight="1">
      <c r="A949" s="337"/>
      <c r="B949" s="204"/>
      <c r="C949" s="206"/>
      <c r="D949" s="207"/>
      <c r="E949" s="208"/>
      <c r="F949" s="208"/>
      <c r="G949" s="208"/>
      <c r="H949" s="208"/>
      <c r="I949" s="208"/>
      <c r="J949" s="208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spans="1:26" ht="11.25" customHeight="1">
      <c r="A950" s="337"/>
      <c r="B950" s="204"/>
      <c r="C950" s="206"/>
      <c r="D950" s="207"/>
      <c r="E950" s="208"/>
      <c r="F950" s="208"/>
      <c r="G950" s="208"/>
      <c r="H950" s="208"/>
      <c r="I950" s="208"/>
      <c r="J950" s="208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spans="1:26" ht="11.25" customHeight="1">
      <c r="A951" s="337"/>
      <c r="B951" s="204"/>
      <c r="C951" s="206"/>
      <c r="D951" s="207"/>
      <c r="E951" s="208"/>
      <c r="F951" s="208"/>
      <c r="G951" s="208"/>
      <c r="H951" s="208"/>
      <c r="I951" s="208"/>
      <c r="J951" s="208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spans="1:26" ht="11.25" customHeight="1">
      <c r="A952" s="337"/>
      <c r="B952" s="204"/>
      <c r="C952" s="206"/>
      <c r="D952" s="207"/>
      <c r="E952" s="208"/>
      <c r="F952" s="208"/>
      <c r="G952" s="208"/>
      <c r="H952" s="208"/>
      <c r="I952" s="208"/>
      <c r="J952" s="208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spans="1:26" ht="11.25" customHeight="1">
      <c r="A953" s="337"/>
      <c r="B953" s="204"/>
      <c r="C953" s="206"/>
      <c r="D953" s="207"/>
      <c r="E953" s="208"/>
      <c r="F953" s="208"/>
      <c r="G953" s="208"/>
      <c r="H953" s="208"/>
      <c r="I953" s="208"/>
      <c r="J953" s="208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spans="1:26" ht="11.25" customHeight="1">
      <c r="A954" s="337"/>
      <c r="B954" s="204"/>
      <c r="C954" s="206"/>
      <c r="D954" s="207"/>
      <c r="E954" s="208"/>
      <c r="F954" s="208"/>
      <c r="G954" s="208"/>
      <c r="H954" s="208"/>
      <c r="I954" s="208"/>
      <c r="J954" s="208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spans="1:26" ht="11.25" customHeight="1">
      <c r="A955" s="337"/>
      <c r="B955" s="204"/>
      <c r="C955" s="206"/>
      <c r="D955" s="207"/>
      <c r="E955" s="208"/>
      <c r="F955" s="208"/>
      <c r="G955" s="208"/>
      <c r="H955" s="208"/>
      <c r="I955" s="208"/>
      <c r="J955" s="208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spans="1:26" ht="11.25" customHeight="1">
      <c r="A956" s="337"/>
      <c r="B956" s="204"/>
      <c r="C956" s="206"/>
      <c r="D956" s="207"/>
      <c r="E956" s="208"/>
      <c r="F956" s="208"/>
      <c r="G956" s="208"/>
      <c r="H956" s="208"/>
      <c r="I956" s="208"/>
      <c r="J956" s="208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spans="1:26" ht="11.25" customHeight="1">
      <c r="A957" s="337"/>
      <c r="B957" s="204"/>
      <c r="C957" s="206"/>
      <c r="D957" s="207"/>
      <c r="E957" s="208"/>
      <c r="F957" s="208"/>
      <c r="G957" s="208"/>
      <c r="H957" s="208"/>
      <c r="I957" s="208"/>
      <c r="J957" s="208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spans="1:26" ht="11.25" customHeight="1">
      <c r="A958" s="337"/>
      <c r="B958" s="204"/>
      <c r="C958" s="206"/>
      <c r="D958" s="207"/>
      <c r="E958" s="208"/>
      <c r="F958" s="208"/>
      <c r="G958" s="208"/>
      <c r="H958" s="208"/>
      <c r="I958" s="208"/>
      <c r="J958" s="208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spans="1:26" ht="11.25" customHeight="1">
      <c r="A959" s="337"/>
      <c r="B959" s="204"/>
      <c r="C959" s="206"/>
      <c r="D959" s="207"/>
      <c r="E959" s="208"/>
      <c r="F959" s="208"/>
      <c r="G959" s="208"/>
      <c r="H959" s="208"/>
      <c r="I959" s="208"/>
      <c r="J959" s="208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spans="1:26" ht="11.25" customHeight="1">
      <c r="A960" s="337"/>
      <c r="B960" s="204"/>
      <c r="C960" s="206"/>
      <c r="D960" s="207"/>
      <c r="E960" s="208"/>
      <c r="F960" s="208"/>
      <c r="G960" s="208"/>
      <c r="H960" s="208"/>
      <c r="I960" s="208"/>
      <c r="J960" s="208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spans="1:26" ht="11.25" customHeight="1">
      <c r="A961" s="337"/>
      <c r="B961" s="204"/>
      <c r="C961" s="206"/>
      <c r="D961" s="207"/>
      <c r="E961" s="208"/>
      <c r="F961" s="208"/>
      <c r="G961" s="208"/>
      <c r="H961" s="208"/>
      <c r="I961" s="208"/>
      <c r="J961" s="208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spans="1:26" ht="11.25" customHeight="1">
      <c r="A962" s="337"/>
      <c r="B962" s="204"/>
      <c r="C962" s="206"/>
      <c r="D962" s="207"/>
      <c r="E962" s="208"/>
      <c r="F962" s="208"/>
      <c r="G962" s="208"/>
      <c r="H962" s="208"/>
      <c r="I962" s="208"/>
      <c r="J962" s="208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spans="1:26" ht="11.25" customHeight="1">
      <c r="A963" s="337"/>
      <c r="B963" s="204"/>
      <c r="C963" s="206"/>
      <c r="D963" s="207"/>
      <c r="E963" s="208"/>
      <c r="F963" s="208"/>
      <c r="G963" s="208"/>
      <c r="H963" s="208"/>
      <c r="I963" s="208"/>
      <c r="J963" s="208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spans="1:26" ht="11.25" customHeight="1">
      <c r="A964" s="337"/>
      <c r="B964" s="204"/>
      <c r="C964" s="206"/>
      <c r="D964" s="207"/>
      <c r="E964" s="208"/>
      <c r="F964" s="208"/>
      <c r="G964" s="208"/>
      <c r="H964" s="208"/>
      <c r="I964" s="208"/>
      <c r="J964" s="208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spans="1:26" ht="11.25" customHeight="1">
      <c r="A965" s="337"/>
      <c r="B965" s="204"/>
      <c r="C965" s="206"/>
      <c r="D965" s="207"/>
      <c r="E965" s="208"/>
      <c r="F965" s="208"/>
      <c r="G965" s="208"/>
      <c r="H965" s="208"/>
      <c r="I965" s="208"/>
      <c r="J965" s="208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spans="1:26" ht="11.25" customHeight="1">
      <c r="A966" s="337"/>
      <c r="B966" s="204"/>
      <c r="C966" s="206"/>
      <c r="D966" s="207"/>
      <c r="E966" s="208"/>
      <c r="F966" s="208"/>
      <c r="G966" s="208"/>
      <c r="H966" s="208"/>
      <c r="I966" s="208"/>
      <c r="J966" s="208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spans="1:26" ht="11.25" customHeight="1">
      <c r="A967" s="337"/>
      <c r="B967" s="204"/>
      <c r="C967" s="206"/>
      <c r="D967" s="207"/>
      <c r="E967" s="208"/>
      <c r="F967" s="208"/>
      <c r="G967" s="208"/>
      <c r="H967" s="208"/>
      <c r="I967" s="208"/>
      <c r="J967" s="208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spans="1:26" ht="11.25" customHeight="1">
      <c r="A968" s="337"/>
      <c r="B968" s="204"/>
      <c r="C968" s="206"/>
      <c r="D968" s="207"/>
      <c r="E968" s="208"/>
      <c r="F968" s="208"/>
      <c r="G968" s="208"/>
      <c r="H968" s="208"/>
      <c r="I968" s="208"/>
      <c r="J968" s="208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spans="1:26" ht="11.25" customHeight="1">
      <c r="A969" s="337"/>
      <c r="B969" s="204"/>
      <c r="C969" s="206"/>
      <c r="D969" s="207"/>
      <c r="E969" s="208"/>
      <c r="F969" s="208"/>
      <c r="G969" s="208"/>
      <c r="H969" s="208"/>
      <c r="I969" s="208"/>
      <c r="J969" s="208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spans="1:26" ht="11.25" customHeight="1">
      <c r="A970" s="337"/>
      <c r="B970" s="204"/>
      <c r="C970" s="206"/>
      <c r="D970" s="207"/>
      <c r="E970" s="208"/>
      <c r="F970" s="208"/>
      <c r="G970" s="208"/>
      <c r="H970" s="208"/>
      <c r="I970" s="208"/>
      <c r="J970" s="208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spans="1:26" ht="11.25" customHeight="1">
      <c r="A971" s="337"/>
      <c r="B971" s="204"/>
      <c r="C971" s="206"/>
      <c r="D971" s="207"/>
      <c r="E971" s="208"/>
      <c r="F971" s="208"/>
      <c r="G971" s="208"/>
      <c r="H971" s="208"/>
      <c r="I971" s="208"/>
      <c r="J971" s="208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spans="1:26" ht="11.25" customHeight="1">
      <c r="A972" s="337"/>
      <c r="B972" s="204"/>
      <c r="C972" s="206"/>
      <c r="D972" s="207"/>
      <c r="E972" s="208"/>
      <c r="F972" s="208"/>
      <c r="G972" s="208"/>
      <c r="H972" s="208"/>
      <c r="I972" s="208"/>
      <c r="J972" s="208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spans="1:26" ht="11.25" customHeight="1">
      <c r="A973" s="337"/>
      <c r="B973" s="204"/>
      <c r="C973" s="206"/>
      <c r="D973" s="207"/>
      <c r="E973" s="208"/>
      <c r="F973" s="208"/>
      <c r="G973" s="208"/>
      <c r="H973" s="208"/>
      <c r="I973" s="208"/>
      <c r="J973" s="208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spans="1:26" ht="11.25" customHeight="1">
      <c r="A974" s="337"/>
      <c r="B974" s="204"/>
      <c r="C974" s="206"/>
      <c r="D974" s="207"/>
      <c r="E974" s="208"/>
      <c r="F974" s="208"/>
      <c r="G974" s="208"/>
      <c r="H974" s="208"/>
      <c r="I974" s="208"/>
      <c r="J974" s="208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spans="1:26" ht="11.25" customHeight="1">
      <c r="A975" s="337"/>
      <c r="B975" s="204"/>
      <c r="C975" s="206"/>
      <c r="D975" s="207"/>
      <c r="E975" s="208"/>
      <c r="F975" s="208"/>
      <c r="G975" s="208"/>
      <c r="H975" s="208"/>
      <c r="I975" s="208"/>
      <c r="J975" s="208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spans="1:26" ht="11.25" customHeight="1">
      <c r="A976" s="337"/>
      <c r="B976" s="204"/>
      <c r="C976" s="206"/>
      <c r="D976" s="207"/>
      <c r="E976" s="208"/>
      <c r="F976" s="208"/>
      <c r="G976" s="208"/>
      <c r="H976" s="208"/>
      <c r="I976" s="208"/>
      <c r="J976" s="208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spans="1:26" ht="11.25" customHeight="1">
      <c r="A977" s="337"/>
      <c r="B977" s="204"/>
      <c r="C977" s="206"/>
      <c r="D977" s="207"/>
      <c r="E977" s="208"/>
      <c r="F977" s="208"/>
      <c r="G977" s="208"/>
      <c r="H977" s="208"/>
      <c r="I977" s="208"/>
      <c r="J977" s="208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spans="1:26" ht="11.25" customHeight="1">
      <c r="A978" s="337"/>
      <c r="B978" s="204"/>
      <c r="C978" s="206"/>
      <c r="D978" s="207"/>
      <c r="E978" s="208"/>
      <c r="F978" s="208"/>
      <c r="G978" s="208"/>
      <c r="H978" s="208"/>
      <c r="I978" s="208"/>
      <c r="J978" s="208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spans="1:26" ht="11.25" customHeight="1">
      <c r="A979" s="337"/>
      <c r="B979" s="204"/>
      <c r="C979" s="206"/>
      <c r="D979" s="207"/>
      <c r="E979" s="208"/>
      <c r="F979" s="208"/>
      <c r="G979" s="208"/>
      <c r="H979" s="208"/>
      <c r="I979" s="208"/>
      <c r="J979" s="208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spans="1:26" ht="11.25" customHeight="1">
      <c r="A980" s="337"/>
      <c r="B980" s="204"/>
      <c r="C980" s="206"/>
      <c r="D980" s="207"/>
      <c r="E980" s="208"/>
      <c r="F980" s="208"/>
      <c r="G980" s="208"/>
      <c r="H980" s="208"/>
      <c r="I980" s="208"/>
      <c r="J980" s="208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spans="1:26" ht="11.25" customHeight="1">
      <c r="A981" s="337"/>
      <c r="B981" s="204"/>
      <c r="C981" s="206"/>
      <c r="D981" s="207"/>
      <c r="E981" s="208"/>
      <c r="F981" s="208"/>
      <c r="G981" s="208"/>
      <c r="H981" s="208"/>
      <c r="I981" s="208"/>
      <c r="J981" s="208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spans="1:26" ht="11.25" customHeight="1">
      <c r="A982" s="337"/>
      <c r="B982" s="204"/>
      <c r="C982" s="206"/>
      <c r="D982" s="207"/>
      <c r="E982" s="208"/>
      <c r="F982" s="208"/>
      <c r="G982" s="208"/>
      <c r="H982" s="208"/>
      <c r="I982" s="208"/>
      <c r="J982" s="208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spans="1:26" ht="11.25" customHeight="1">
      <c r="A983" s="337"/>
      <c r="B983" s="204"/>
      <c r="C983" s="206"/>
      <c r="D983" s="207"/>
      <c r="E983" s="208"/>
      <c r="F983" s="208"/>
      <c r="G983" s="208"/>
      <c r="H983" s="208"/>
      <c r="I983" s="208"/>
      <c r="J983" s="208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spans="1:26" ht="11.25" customHeight="1">
      <c r="A984" s="337"/>
      <c r="B984" s="204"/>
      <c r="C984" s="206"/>
      <c r="D984" s="207"/>
      <c r="E984" s="208"/>
      <c r="F984" s="208"/>
      <c r="G984" s="208"/>
      <c r="H984" s="208"/>
      <c r="I984" s="208"/>
      <c r="J984" s="208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spans="1:26" ht="11.25" customHeight="1">
      <c r="A985" s="337"/>
      <c r="B985" s="204"/>
      <c r="C985" s="206"/>
      <c r="D985" s="207"/>
      <c r="E985" s="208"/>
      <c r="F985" s="208"/>
      <c r="G985" s="208"/>
      <c r="H985" s="208"/>
      <c r="I985" s="208"/>
      <c r="J985" s="208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spans="1:26" ht="11.25" customHeight="1">
      <c r="A986" s="337"/>
      <c r="B986" s="204"/>
      <c r="C986" s="206"/>
      <c r="D986" s="207"/>
      <c r="E986" s="208"/>
      <c r="F986" s="208"/>
      <c r="G986" s="208"/>
      <c r="H986" s="208"/>
      <c r="I986" s="208"/>
      <c r="J986" s="208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spans="1:26" ht="11.25" customHeight="1">
      <c r="A987" s="337"/>
      <c r="B987" s="204"/>
      <c r="C987" s="206"/>
      <c r="D987" s="207"/>
      <c r="E987" s="208"/>
      <c r="F987" s="208"/>
      <c r="G987" s="208"/>
      <c r="H987" s="208"/>
      <c r="I987" s="208"/>
      <c r="J987" s="208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spans="1:26" ht="11.25" customHeight="1">
      <c r="A988" s="337"/>
      <c r="B988" s="204"/>
      <c r="C988" s="206"/>
      <c r="D988" s="207"/>
      <c r="E988" s="208"/>
      <c r="F988" s="208"/>
      <c r="G988" s="208"/>
      <c r="H988" s="208"/>
      <c r="I988" s="208"/>
      <c r="J988" s="208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spans="1:26" ht="11.25" customHeight="1">
      <c r="A989" s="337"/>
      <c r="B989" s="204"/>
      <c r="C989" s="206"/>
      <c r="D989" s="207"/>
      <c r="E989" s="208"/>
      <c r="F989" s="208"/>
      <c r="G989" s="208"/>
      <c r="H989" s="208"/>
      <c r="I989" s="208"/>
      <c r="J989" s="208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spans="1:26" ht="11.25" customHeight="1">
      <c r="A990" s="337"/>
      <c r="B990" s="204"/>
      <c r="C990" s="206"/>
      <c r="D990" s="207"/>
      <c r="E990" s="208"/>
      <c r="F990" s="208"/>
      <c r="G990" s="208"/>
      <c r="H990" s="208"/>
      <c r="I990" s="208"/>
      <c r="J990" s="208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spans="1:26" ht="11.25" customHeight="1">
      <c r="A991" s="337"/>
      <c r="B991" s="204"/>
      <c r="C991" s="206"/>
      <c r="D991" s="207"/>
      <c r="E991" s="208"/>
      <c r="F991" s="208"/>
      <c r="G991" s="208"/>
      <c r="H991" s="208"/>
      <c r="I991" s="208"/>
      <c r="J991" s="208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spans="1:26" ht="11.25" customHeight="1">
      <c r="A992" s="337"/>
      <c r="B992" s="204"/>
      <c r="C992" s="206"/>
      <c r="D992" s="207"/>
      <c r="E992" s="208"/>
      <c r="F992" s="208"/>
      <c r="G992" s="208"/>
      <c r="H992" s="208"/>
      <c r="I992" s="208"/>
      <c r="J992" s="208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spans="1:26" ht="11.25" customHeight="1">
      <c r="A993" s="337"/>
      <c r="B993" s="204"/>
      <c r="C993" s="206"/>
      <c r="D993" s="207"/>
      <c r="E993" s="208"/>
      <c r="F993" s="208"/>
      <c r="G993" s="208"/>
      <c r="H993" s="208"/>
      <c r="I993" s="208"/>
      <c r="J993" s="208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spans="1:26" ht="11.25" customHeight="1">
      <c r="A994" s="337"/>
      <c r="B994" s="204"/>
      <c r="C994" s="206"/>
      <c r="D994" s="207"/>
      <c r="E994" s="208"/>
      <c r="F994" s="208"/>
      <c r="G994" s="208"/>
      <c r="H994" s="208"/>
      <c r="I994" s="208"/>
      <c r="J994" s="208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spans="1:26" ht="11.25" customHeight="1">
      <c r="A995" s="337"/>
      <c r="B995" s="204"/>
      <c r="C995" s="206"/>
      <c r="D995" s="207"/>
      <c r="E995" s="208"/>
      <c r="F995" s="208"/>
      <c r="G995" s="208"/>
      <c r="H995" s="208"/>
      <c r="I995" s="208"/>
      <c r="J995" s="208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</sheetData>
  <mergeCells count="248">
    <mergeCell ref="A132:B132"/>
    <mergeCell ref="A133:B133"/>
    <mergeCell ref="A134:B134"/>
    <mergeCell ref="A135:B135"/>
    <mergeCell ref="B126:B127"/>
    <mergeCell ref="B139:D139"/>
    <mergeCell ref="D130:D131"/>
    <mergeCell ref="B130:B131"/>
    <mergeCell ref="B128:B129"/>
    <mergeCell ref="C128:C129"/>
    <mergeCell ref="A128:A129"/>
    <mergeCell ref="A126:A127"/>
    <mergeCell ref="A130:A131"/>
    <mergeCell ref="C126:C127"/>
    <mergeCell ref="D128:D129"/>
    <mergeCell ref="D126:D127"/>
    <mergeCell ref="C130:C131"/>
    <mergeCell ref="D114:D115"/>
    <mergeCell ref="D116:D117"/>
    <mergeCell ref="C118:C119"/>
    <mergeCell ref="C122:C123"/>
    <mergeCell ref="C120:C121"/>
    <mergeCell ref="D120:D121"/>
    <mergeCell ref="D122:D123"/>
    <mergeCell ref="D118:D119"/>
    <mergeCell ref="D94:D95"/>
    <mergeCell ref="D106:D107"/>
    <mergeCell ref="D108:D109"/>
    <mergeCell ref="D112:D113"/>
    <mergeCell ref="D110:D111"/>
    <mergeCell ref="B110:B111"/>
    <mergeCell ref="C94:C95"/>
    <mergeCell ref="B94:B95"/>
    <mergeCell ref="D124:D125"/>
    <mergeCell ref="C110:C111"/>
    <mergeCell ref="D104:D105"/>
    <mergeCell ref="C124:C125"/>
    <mergeCell ref="A89:A90"/>
    <mergeCell ref="A118:A119"/>
    <mergeCell ref="C108:C109"/>
    <mergeCell ref="C112:C113"/>
    <mergeCell ref="A104:A105"/>
    <mergeCell ref="C96:C97"/>
    <mergeCell ref="D100:D101"/>
    <mergeCell ref="D102:D103"/>
    <mergeCell ref="D89:D90"/>
    <mergeCell ref="D91:D92"/>
    <mergeCell ref="D98:D99"/>
    <mergeCell ref="D96:D97"/>
    <mergeCell ref="C116:C117"/>
    <mergeCell ref="C114:C115"/>
    <mergeCell ref="A91:A92"/>
    <mergeCell ref="C91:C92"/>
    <mergeCell ref="B91:B92"/>
    <mergeCell ref="C89:C90"/>
    <mergeCell ref="B89:B90"/>
    <mergeCell ref="B118:B119"/>
    <mergeCell ref="B122:B123"/>
    <mergeCell ref="C46:C47"/>
    <mergeCell ref="D46:D47"/>
    <mergeCell ref="C48:C49"/>
    <mergeCell ref="C50:C51"/>
    <mergeCell ref="C63:C64"/>
    <mergeCell ref="C67:C68"/>
    <mergeCell ref="C69:C70"/>
    <mergeCell ref="D73:D74"/>
    <mergeCell ref="D52:D53"/>
    <mergeCell ref="D65:D66"/>
    <mergeCell ref="D63:D64"/>
    <mergeCell ref="C52:C53"/>
    <mergeCell ref="B7:B8"/>
    <mergeCell ref="C7:C8"/>
    <mergeCell ref="C9:C10"/>
    <mergeCell ref="A7:A8"/>
    <mergeCell ref="A4:J4"/>
    <mergeCell ref="A3:J3"/>
    <mergeCell ref="A5:J5"/>
    <mergeCell ref="C87:C88"/>
    <mergeCell ref="C73:C74"/>
    <mergeCell ref="B73:B74"/>
    <mergeCell ref="A73:A74"/>
    <mergeCell ref="A77:A78"/>
    <mergeCell ref="A75:A76"/>
    <mergeCell ref="C75:C76"/>
    <mergeCell ref="B81:B82"/>
    <mergeCell ref="B58:B59"/>
    <mergeCell ref="B63:B64"/>
    <mergeCell ref="A81:A82"/>
    <mergeCell ref="A79:A80"/>
    <mergeCell ref="C58:C59"/>
    <mergeCell ref="C56:C57"/>
    <mergeCell ref="B56:B57"/>
    <mergeCell ref="B52:B53"/>
    <mergeCell ref="C71:C72"/>
    <mergeCell ref="A20:A21"/>
    <mergeCell ref="A22:A23"/>
    <mergeCell ref="B20:B21"/>
    <mergeCell ref="C20:C21"/>
    <mergeCell ref="D11:D12"/>
    <mergeCell ref="D7:D8"/>
    <mergeCell ref="D9:D10"/>
    <mergeCell ref="D16:D17"/>
    <mergeCell ref="D14:D15"/>
    <mergeCell ref="B18:B19"/>
    <mergeCell ref="A18:A19"/>
    <mergeCell ref="D18:D19"/>
    <mergeCell ref="A16:A17"/>
    <mergeCell ref="A14:A15"/>
    <mergeCell ref="C11:C12"/>
    <mergeCell ref="B11:B12"/>
    <mergeCell ref="C16:C17"/>
    <mergeCell ref="B14:B15"/>
    <mergeCell ref="B16:B17"/>
    <mergeCell ref="A11:A12"/>
    <mergeCell ref="C18:C19"/>
    <mergeCell ref="C14:C15"/>
    <mergeCell ref="B9:B10"/>
    <mergeCell ref="A9:A10"/>
    <mergeCell ref="D20:D21"/>
    <mergeCell ref="D48:D49"/>
    <mergeCell ref="D50:D51"/>
    <mergeCell ref="D54:D55"/>
    <mergeCell ref="D58:D59"/>
    <mergeCell ref="D56:D57"/>
    <mergeCell ref="D61:D62"/>
    <mergeCell ref="D81:D82"/>
    <mergeCell ref="D79:D80"/>
    <mergeCell ref="D75:D76"/>
    <mergeCell ref="D71:D72"/>
    <mergeCell ref="D69:D70"/>
    <mergeCell ref="D67:D68"/>
    <mergeCell ref="D77:D78"/>
    <mergeCell ref="D35:D36"/>
    <mergeCell ref="D37:D38"/>
    <mergeCell ref="D41:D42"/>
    <mergeCell ref="D43:D44"/>
    <mergeCell ref="D39:D40"/>
    <mergeCell ref="A50:A51"/>
    <mergeCell ref="A48:A49"/>
    <mergeCell ref="A46:A47"/>
    <mergeCell ref="A37:A38"/>
    <mergeCell ref="A24:A25"/>
    <mergeCell ref="B75:B76"/>
    <mergeCell ref="B71:B72"/>
    <mergeCell ref="B46:B47"/>
    <mergeCell ref="B48:B49"/>
    <mergeCell ref="B50:B51"/>
    <mergeCell ref="D31:D32"/>
    <mergeCell ref="D33:D34"/>
    <mergeCell ref="D24:D25"/>
    <mergeCell ref="D26:D27"/>
    <mergeCell ref="D28:D29"/>
    <mergeCell ref="D22:D23"/>
    <mergeCell ref="D87:D88"/>
    <mergeCell ref="D83:D84"/>
    <mergeCell ref="D85:D86"/>
    <mergeCell ref="B22:B23"/>
    <mergeCell ref="C22:C23"/>
    <mergeCell ref="A26:A27"/>
    <mergeCell ref="A28:A29"/>
    <mergeCell ref="B24:B25"/>
    <mergeCell ref="C26:C27"/>
    <mergeCell ref="C28:C29"/>
    <mergeCell ref="B28:B29"/>
    <mergeCell ref="B26:B27"/>
    <mergeCell ref="C24:C25"/>
    <mergeCell ref="A33:A34"/>
    <mergeCell ref="A35:A36"/>
    <mergeCell ref="A41:A42"/>
    <mergeCell ref="A39:A40"/>
    <mergeCell ref="C39:C40"/>
    <mergeCell ref="C37:C38"/>
    <mergeCell ref="A31:A32"/>
    <mergeCell ref="B31:B32"/>
    <mergeCell ref="B33:B34"/>
    <mergeCell ref="C33:C34"/>
    <mergeCell ref="C31:C32"/>
    <mergeCell ref="C41:C42"/>
    <mergeCell ref="B39:B40"/>
    <mergeCell ref="B37:B38"/>
    <mergeCell ref="B41:B42"/>
    <mergeCell ref="B35:B36"/>
    <mergeCell ref="C35:C36"/>
    <mergeCell ref="A52:A53"/>
    <mergeCell ref="A54:A55"/>
    <mergeCell ref="C43:C44"/>
    <mergeCell ref="B54:B55"/>
    <mergeCell ref="C85:C86"/>
    <mergeCell ref="C81:C82"/>
    <mergeCell ref="C83:C84"/>
    <mergeCell ref="C79:C80"/>
    <mergeCell ref="C77:C78"/>
    <mergeCell ref="B83:B84"/>
    <mergeCell ref="B85:B86"/>
    <mergeCell ref="B77:B78"/>
    <mergeCell ref="B79:B80"/>
    <mergeCell ref="B69:B70"/>
    <mergeCell ref="B65:B66"/>
    <mergeCell ref="B67:B68"/>
    <mergeCell ref="C61:C62"/>
    <mergeCell ref="C65:C66"/>
    <mergeCell ref="C54:C55"/>
    <mergeCell ref="B61:B62"/>
    <mergeCell ref="A83:A84"/>
    <mergeCell ref="A85:A86"/>
    <mergeCell ref="B43:B44"/>
    <mergeCell ref="A43:A44"/>
    <mergeCell ref="C106:C107"/>
    <mergeCell ref="C102:C103"/>
    <mergeCell ref="C98:C99"/>
    <mergeCell ref="C100:C101"/>
    <mergeCell ref="B104:B105"/>
    <mergeCell ref="C104:C105"/>
    <mergeCell ref="A98:A99"/>
    <mergeCell ref="A100:A101"/>
    <mergeCell ref="A56:A57"/>
    <mergeCell ref="A58:A59"/>
    <mergeCell ref="A63:A64"/>
    <mergeCell ref="A61:A62"/>
    <mergeCell ref="A67:A68"/>
    <mergeCell ref="A71:A72"/>
    <mergeCell ref="A69:A70"/>
    <mergeCell ref="A65:A66"/>
    <mergeCell ref="B87:B88"/>
    <mergeCell ref="A87:A88"/>
    <mergeCell ref="A94:A95"/>
    <mergeCell ref="A96:A97"/>
    <mergeCell ref="B116:B117"/>
    <mergeCell ref="A114:A115"/>
    <mergeCell ref="A122:A123"/>
    <mergeCell ref="A120:A121"/>
    <mergeCell ref="B124:B125"/>
    <mergeCell ref="A124:A125"/>
    <mergeCell ref="A106:A107"/>
    <mergeCell ref="A108:A109"/>
    <mergeCell ref="B112:B113"/>
    <mergeCell ref="B108:B109"/>
    <mergeCell ref="B96:B97"/>
    <mergeCell ref="B98:B99"/>
    <mergeCell ref="B100:B101"/>
    <mergeCell ref="A116:A117"/>
    <mergeCell ref="B114:B115"/>
    <mergeCell ref="A102:A103"/>
    <mergeCell ref="B102:B103"/>
    <mergeCell ref="B106:B107"/>
    <mergeCell ref="A112:A113"/>
    <mergeCell ref="A110:A111"/>
    <mergeCell ref="B120:B121"/>
  </mergeCells>
  <conditionalFormatting sqref="E15:G15 E21:F21">
    <cfRule type="cellIs" dxfId="245" priority="1" operator="greaterThan">
      <formula>0</formula>
    </cfRule>
  </conditionalFormatting>
  <conditionalFormatting sqref="F19:H19">
    <cfRule type="cellIs" dxfId="244" priority="2" operator="greaterThan">
      <formula>0</formula>
    </cfRule>
  </conditionalFormatting>
  <conditionalFormatting sqref="G23">
    <cfRule type="cellIs" dxfId="243" priority="3" operator="greaterThan">
      <formula>0</formula>
    </cfRule>
  </conditionalFormatting>
  <conditionalFormatting sqref="E23 E25">
    <cfRule type="cellIs" dxfId="242" priority="4" operator="greaterThan">
      <formula>0</formula>
    </cfRule>
  </conditionalFormatting>
  <conditionalFormatting sqref="G21">
    <cfRule type="cellIs" dxfId="241" priority="5" operator="greaterThan">
      <formula>0</formula>
    </cfRule>
  </conditionalFormatting>
  <conditionalFormatting sqref="F17:H17">
    <cfRule type="cellIs" dxfId="240" priority="6" operator="greaterThan">
      <formula>0</formula>
    </cfRule>
  </conditionalFormatting>
  <conditionalFormatting sqref="F23 G25:H25">
    <cfRule type="cellIs" dxfId="239" priority="7" operator="greaterThan">
      <formula>0</formula>
    </cfRule>
  </conditionalFormatting>
  <conditionalFormatting sqref="E10:J10 E12:K12">
    <cfRule type="cellIs" dxfId="238" priority="8" operator="greaterThan">
      <formula>0</formula>
    </cfRule>
  </conditionalFormatting>
  <conditionalFormatting sqref="E27:F27">
    <cfRule type="cellIs" dxfId="237" priority="9" operator="greaterThan">
      <formula>0</formula>
    </cfRule>
  </conditionalFormatting>
  <conditionalFormatting sqref="G27:I27">
    <cfRule type="cellIs" dxfId="236" priority="10" operator="greaterThan">
      <formula>0</formula>
    </cfRule>
  </conditionalFormatting>
  <conditionalFormatting sqref="E47 E49">
    <cfRule type="cellIs" dxfId="235" priority="11" operator="greaterThan">
      <formula>0</formula>
    </cfRule>
  </conditionalFormatting>
  <conditionalFormatting sqref="E42 E44">
    <cfRule type="cellIs" dxfId="234" priority="12" operator="greaterThan">
      <formula>0</formula>
    </cfRule>
  </conditionalFormatting>
  <conditionalFormatting sqref="E32">
    <cfRule type="cellIs" dxfId="233" priority="13" operator="greaterThan">
      <formula>0</formula>
    </cfRule>
  </conditionalFormatting>
  <conditionalFormatting sqref="F32:G32">
    <cfRule type="cellIs" dxfId="232" priority="14" operator="greaterThan">
      <formula>0</formula>
    </cfRule>
  </conditionalFormatting>
  <conditionalFormatting sqref="E29">
    <cfRule type="cellIs" dxfId="231" priority="15" operator="greaterThan">
      <formula>0</formula>
    </cfRule>
  </conditionalFormatting>
  <conditionalFormatting sqref="H29:I29">
    <cfRule type="cellIs" dxfId="230" priority="16" operator="greaterThan">
      <formula>0</formula>
    </cfRule>
  </conditionalFormatting>
  <conditionalFormatting sqref="J40">
    <cfRule type="cellIs" dxfId="229" priority="17" operator="greaterThan">
      <formula>0</formula>
    </cfRule>
  </conditionalFormatting>
  <conditionalFormatting sqref="E38 E40">
    <cfRule type="cellIs" dxfId="228" priority="18" operator="greaterThan">
      <formula>0</formula>
    </cfRule>
  </conditionalFormatting>
  <conditionalFormatting sqref="H34">
    <cfRule type="cellIs" dxfId="227" priority="19" operator="greaterThan">
      <formula>0</formula>
    </cfRule>
  </conditionalFormatting>
  <conditionalFormatting sqref="E34 E36">
    <cfRule type="cellIs" dxfId="226" priority="20" operator="greaterThan">
      <formula>0</formula>
    </cfRule>
  </conditionalFormatting>
  <conditionalFormatting sqref="J32">
    <cfRule type="cellIs" dxfId="225" priority="21" operator="greaterThan">
      <formula>0</formula>
    </cfRule>
  </conditionalFormatting>
  <conditionalFormatting sqref="H32">
    <cfRule type="cellIs" dxfId="224" priority="22" operator="greaterThan">
      <formula>0</formula>
    </cfRule>
  </conditionalFormatting>
  <conditionalFormatting sqref="I38:J38 I40">
    <cfRule type="cellIs" dxfId="223" priority="23" operator="greaterThan">
      <formula>0</formula>
    </cfRule>
  </conditionalFormatting>
  <conditionalFormatting sqref="J29">
    <cfRule type="cellIs" dxfId="222" priority="24" operator="greaterThan">
      <formula>0</formula>
    </cfRule>
  </conditionalFormatting>
  <conditionalFormatting sqref="I36">
    <cfRule type="cellIs" dxfId="221" priority="25" operator="greaterThan">
      <formula>0</formula>
    </cfRule>
  </conditionalFormatting>
  <conditionalFormatting sqref="E10:J10">
    <cfRule type="cellIs" dxfId="220" priority="26" operator="greaterThan">
      <formula>0</formula>
    </cfRule>
  </conditionalFormatting>
  <conditionalFormatting sqref="J34 J36">
    <cfRule type="cellIs" dxfId="219" priority="27" operator="greaterThan">
      <formula>0</formula>
    </cfRule>
  </conditionalFormatting>
  <conditionalFormatting sqref="H36">
    <cfRule type="cellIs" dxfId="218" priority="28" operator="greaterThan">
      <formula>0</formula>
    </cfRule>
  </conditionalFormatting>
  <conditionalFormatting sqref="J27">
    <cfRule type="cellIs" dxfId="217" priority="29" operator="greaterThan">
      <formula>0</formula>
    </cfRule>
  </conditionalFormatting>
  <conditionalFormatting sqref="H12 H21:I21 I15:J15 J17">
    <cfRule type="cellIs" dxfId="216" priority="30" operator="greaterThan">
      <formula>0</formula>
    </cfRule>
  </conditionalFormatting>
  <conditionalFormatting sqref="H15">
    <cfRule type="cellIs" dxfId="215" priority="31" operator="greaterThan">
      <formula>0</formula>
    </cfRule>
  </conditionalFormatting>
  <conditionalFormatting sqref="I19:J19">
    <cfRule type="cellIs" dxfId="214" priority="32" operator="greaterThan">
      <formula>0</formula>
    </cfRule>
  </conditionalFormatting>
  <conditionalFormatting sqref="J23 J25">
    <cfRule type="cellIs" dxfId="213" priority="33" operator="greaterThan">
      <formula>0</formula>
    </cfRule>
  </conditionalFormatting>
  <conditionalFormatting sqref="H23">
    <cfRule type="cellIs" dxfId="212" priority="34" operator="greaterThan">
      <formula>0</formula>
    </cfRule>
  </conditionalFormatting>
  <conditionalFormatting sqref="J21">
    <cfRule type="cellIs" dxfId="211" priority="35" operator="greaterThan">
      <formula>0</formula>
    </cfRule>
  </conditionalFormatting>
  <conditionalFormatting sqref="I17">
    <cfRule type="cellIs" dxfId="210" priority="36" operator="greaterThan">
      <formula>0</formula>
    </cfRule>
  </conditionalFormatting>
  <conditionalFormatting sqref="I23 I25">
    <cfRule type="cellIs" dxfId="209" priority="37" operator="greaterThan">
      <formula>0</formula>
    </cfRule>
  </conditionalFormatting>
  <conditionalFormatting sqref="I12">
    <cfRule type="cellIs" dxfId="208" priority="38" operator="greaterThan">
      <formula>0</formula>
    </cfRule>
  </conditionalFormatting>
  <conditionalFormatting sqref="I47 I49">
    <cfRule type="cellIs" dxfId="207" priority="39" operator="greaterThan">
      <formula>0</formula>
    </cfRule>
  </conditionalFormatting>
  <conditionalFormatting sqref="I42 I44">
    <cfRule type="cellIs" dxfId="206" priority="40" operator="greaterThan">
      <formula>0</formula>
    </cfRule>
  </conditionalFormatting>
  <conditionalFormatting sqref="J47 J49">
    <cfRule type="cellIs" dxfId="205" priority="41" operator="greaterThan">
      <formula>0</formula>
    </cfRule>
  </conditionalFormatting>
  <conditionalFormatting sqref="I32">
    <cfRule type="cellIs" dxfId="204" priority="42" operator="greaterThan">
      <formula>0</formula>
    </cfRule>
  </conditionalFormatting>
  <conditionalFormatting sqref="J42 J44">
    <cfRule type="cellIs" dxfId="203" priority="43" operator="greaterThan">
      <formula>0</formula>
    </cfRule>
  </conditionalFormatting>
  <conditionalFormatting sqref="J12">
    <cfRule type="cellIs" dxfId="202" priority="44" operator="greaterThan">
      <formula>0</formula>
    </cfRule>
  </conditionalFormatting>
  <conditionalFormatting sqref="E51 E53">
    <cfRule type="cellIs" dxfId="201" priority="45" operator="greaterThan">
      <formula>0</formula>
    </cfRule>
  </conditionalFormatting>
  <conditionalFormatting sqref="F53">
    <cfRule type="cellIs" dxfId="200" priority="46" operator="greaterThan">
      <formula>0</formula>
    </cfRule>
  </conditionalFormatting>
  <conditionalFormatting sqref="I51 I53">
    <cfRule type="cellIs" dxfId="199" priority="47" operator="greaterThan">
      <formula>0</formula>
    </cfRule>
  </conditionalFormatting>
  <conditionalFormatting sqref="J51 J53">
    <cfRule type="cellIs" dxfId="198" priority="48" operator="greaterThan">
      <formula>0</formula>
    </cfRule>
  </conditionalFormatting>
  <conditionalFormatting sqref="G129 G131">
    <cfRule type="cellIs" dxfId="197" priority="49" operator="greaterThan">
      <formula>0</formula>
    </cfRule>
  </conditionalFormatting>
  <conditionalFormatting sqref="E129 E131">
    <cfRule type="cellIs" dxfId="196" priority="50" operator="greaterThan">
      <formula>0</formula>
    </cfRule>
  </conditionalFormatting>
  <conditionalFormatting sqref="F129 F131">
    <cfRule type="cellIs" dxfId="195" priority="51" operator="greaterThan">
      <formula>0</formula>
    </cfRule>
  </conditionalFormatting>
  <conditionalFormatting sqref="G125 G127">
    <cfRule type="cellIs" dxfId="194" priority="52" operator="greaterThan">
      <formula>0</formula>
    </cfRule>
  </conditionalFormatting>
  <conditionalFormatting sqref="E125 E127">
    <cfRule type="cellIs" dxfId="193" priority="53" operator="greaterThan">
      <formula>0</formula>
    </cfRule>
  </conditionalFormatting>
  <conditionalFormatting sqref="F125 F127">
    <cfRule type="cellIs" dxfId="192" priority="54" operator="greaterThan">
      <formula>0</formula>
    </cfRule>
  </conditionalFormatting>
  <conditionalFormatting sqref="G121 G123">
    <cfRule type="cellIs" dxfId="191" priority="55" operator="greaterThan">
      <formula>0</formula>
    </cfRule>
  </conditionalFormatting>
  <conditionalFormatting sqref="E121 E123">
    <cfRule type="cellIs" dxfId="190" priority="56" operator="greaterThan">
      <formula>0</formula>
    </cfRule>
  </conditionalFormatting>
  <conditionalFormatting sqref="F121 F123">
    <cfRule type="cellIs" dxfId="189" priority="57" operator="greaterThan">
      <formula>0</formula>
    </cfRule>
  </conditionalFormatting>
  <conditionalFormatting sqref="G117 G119">
    <cfRule type="cellIs" dxfId="188" priority="58" operator="greaterThan">
      <formula>0</formula>
    </cfRule>
  </conditionalFormatting>
  <conditionalFormatting sqref="E117 E119">
    <cfRule type="cellIs" dxfId="187" priority="59" operator="greaterThan">
      <formula>0</formula>
    </cfRule>
  </conditionalFormatting>
  <conditionalFormatting sqref="F117 F119">
    <cfRule type="cellIs" dxfId="186" priority="60" operator="greaterThan">
      <formula>0</formula>
    </cfRule>
  </conditionalFormatting>
  <conditionalFormatting sqref="G113 G115">
    <cfRule type="cellIs" dxfId="185" priority="61" operator="greaterThan">
      <formula>0</formula>
    </cfRule>
  </conditionalFormatting>
  <conditionalFormatting sqref="E113 E115">
    <cfRule type="cellIs" dxfId="184" priority="62" operator="greaterThan">
      <formula>0</formula>
    </cfRule>
  </conditionalFormatting>
  <conditionalFormatting sqref="F113 F115">
    <cfRule type="cellIs" dxfId="183" priority="63" operator="greaterThan">
      <formula>0</formula>
    </cfRule>
  </conditionalFormatting>
  <conditionalFormatting sqref="G109 G111">
    <cfRule type="cellIs" dxfId="182" priority="64" operator="greaterThan">
      <formula>0</formula>
    </cfRule>
  </conditionalFormatting>
  <conditionalFormatting sqref="E109 E111">
    <cfRule type="cellIs" dxfId="181" priority="65" operator="greaterThan">
      <formula>0</formula>
    </cfRule>
  </conditionalFormatting>
  <conditionalFormatting sqref="F109 F111">
    <cfRule type="cellIs" dxfId="180" priority="66" operator="greaterThan">
      <formula>0</formula>
    </cfRule>
  </conditionalFormatting>
  <conditionalFormatting sqref="G107">
    <cfRule type="cellIs" dxfId="179" priority="67" operator="greaterThan">
      <formula>0</formula>
    </cfRule>
  </conditionalFormatting>
  <conditionalFormatting sqref="E107">
    <cfRule type="cellIs" dxfId="178" priority="68" operator="greaterThan">
      <formula>0</formula>
    </cfRule>
  </conditionalFormatting>
  <conditionalFormatting sqref="F107">
    <cfRule type="cellIs" dxfId="177" priority="69" operator="greaterThan">
      <formula>0</formula>
    </cfRule>
  </conditionalFormatting>
  <conditionalFormatting sqref="E103 E105">
    <cfRule type="cellIs" dxfId="176" priority="70" operator="greaterThan">
      <formula>0</formula>
    </cfRule>
  </conditionalFormatting>
  <conditionalFormatting sqref="F103 F105">
    <cfRule type="cellIs" dxfId="175" priority="71" operator="greaterThan">
      <formula>0</formula>
    </cfRule>
  </conditionalFormatting>
  <conditionalFormatting sqref="J103 J105">
    <cfRule type="cellIs" dxfId="174" priority="72" operator="greaterThan">
      <formula>0</formula>
    </cfRule>
  </conditionalFormatting>
  <conditionalFormatting sqref="E99 E101">
    <cfRule type="cellIs" dxfId="173" priority="73" operator="greaterThan">
      <formula>0</formula>
    </cfRule>
  </conditionalFormatting>
  <conditionalFormatting sqref="F99 F101">
    <cfRule type="cellIs" dxfId="172" priority="74" operator="greaterThan">
      <formula>0</formula>
    </cfRule>
  </conditionalFormatting>
  <conditionalFormatting sqref="J99 J101">
    <cfRule type="cellIs" dxfId="171" priority="75" operator="greaterThan">
      <formula>0</formula>
    </cfRule>
  </conditionalFormatting>
  <conditionalFormatting sqref="E95 E97">
    <cfRule type="cellIs" dxfId="170" priority="76" operator="greaterThan">
      <formula>0</formula>
    </cfRule>
  </conditionalFormatting>
  <conditionalFormatting sqref="F95 F97">
    <cfRule type="cellIs" dxfId="169" priority="77" operator="greaterThan">
      <formula>0</formula>
    </cfRule>
  </conditionalFormatting>
  <conditionalFormatting sqref="J95 J97">
    <cfRule type="cellIs" dxfId="168" priority="78" operator="greaterThan">
      <formula>0</formula>
    </cfRule>
  </conditionalFormatting>
  <conditionalFormatting sqref="E90 E92">
    <cfRule type="cellIs" dxfId="167" priority="79" operator="greaterThan">
      <formula>0</formula>
    </cfRule>
  </conditionalFormatting>
  <conditionalFormatting sqref="F90 F92">
    <cfRule type="cellIs" dxfId="166" priority="80" operator="greaterThan">
      <formula>0</formula>
    </cfRule>
  </conditionalFormatting>
  <conditionalFormatting sqref="J90 J92">
    <cfRule type="cellIs" dxfId="165" priority="81" operator="greaterThan">
      <formula>0</formula>
    </cfRule>
  </conditionalFormatting>
  <conditionalFormatting sqref="E86 E88">
    <cfRule type="cellIs" dxfId="164" priority="82" operator="greaterThan">
      <formula>0</formula>
    </cfRule>
  </conditionalFormatting>
  <conditionalFormatting sqref="F86 F88">
    <cfRule type="cellIs" dxfId="163" priority="83" operator="greaterThan">
      <formula>0</formula>
    </cfRule>
  </conditionalFormatting>
  <conditionalFormatting sqref="J86 J88">
    <cfRule type="cellIs" dxfId="162" priority="84" operator="greaterThan">
      <formula>0</formula>
    </cfRule>
  </conditionalFormatting>
  <conditionalFormatting sqref="E82 E84">
    <cfRule type="cellIs" dxfId="161" priority="85" operator="greaterThan">
      <formula>0</formula>
    </cfRule>
  </conditionalFormatting>
  <conditionalFormatting sqref="F82 F84">
    <cfRule type="cellIs" dxfId="160" priority="86" operator="greaterThan">
      <formula>0</formula>
    </cfRule>
  </conditionalFormatting>
  <conditionalFormatting sqref="J82 J84">
    <cfRule type="cellIs" dxfId="159" priority="87" operator="greaterThan">
      <formula>0</formula>
    </cfRule>
  </conditionalFormatting>
  <conditionalFormatting sqref="E78 E80">
    <cfRule type="cellIs" dxfId="158" priority="88" operator="greaterThan">
      <formula>0</formula>
    </cfRule>
  </conditionalFormatting>
  <conditionalFormatting sqref="F78 F80">
    <cfRule type="cellIs" dxfId="157" priority="89" operator="greaterThan">
      <formula>0</formula>
    </cfRule>
  </conditionalFormatting>
  <conditionalFormatting sqref="J78 J80">
    <cfRule type="cellIs" dxfId="156" priority="90" operator="greaterThan">
      <formula>0</formula>
    </cfRule>
  </conditionalFormatting>
  <conditionalFormatting sqref="E74 E76">
    <cfRule type="cellIs" dxfId="155" priority="91" operator="greaterThan">
      <formula>0</formula>
    </cfRule>
  </conditionalFormatting>
  <conditionalFormatting sqref="F74 F76">
    <cfRule type="cellIs" dxfId="154" priority="92" operator="greaterThan">
      <formula>0</formula>
    </cfRule>
  </conditionalFormatting>
  <conditionalFormatting sqref="J74 J76">
    <cfRule type="cellIs" dxfId="153" priority="93" operator="greaterThan">
      <formula>0</formula>
    </cfRule>
  </conditionalFormatting>
  <conditionalFormatting sqref="E70 E72">
    <cfRule type="cellIs" dxfId="152" priority="94" operator="greaterThan">
      <formula>0</formula>
    </cfRule>
  </conditionalFormatting>
  <conditionalFormatting sqref="F70 F72">
    <cfRule type="cellIs" dxfId="151" priority="95" operator="greaterThan">
      <formula>0</formula>
    </cfRule>
  </conditionalFormatting>
  <conditionalFormatting sqref="J70 J72">
    <cfRule type="cellIs" dxfId="150" priority="96" operator="greaterThan">
      <formula>0</formula>
    </cfRule>
  </conditionalFormatting>
  <conditionalFormatting sqref="E66 E68">
    <cfRule type="cellIs" dxfId="149" priority="97" operator="greaterThan">
      <formula>0</formula>
    </cfRule>
  </conditionalFormatting>
  <conditionalFormatting sqref="F66 F68">
    <cfRule type="cellIs" dxfId="148" priority="98" operator="greaterThan">
      <formula>0</formula>
    </cfRule>
  </conditionalFormatting>
  <conditionalFormatting sqref="I66">
    <cfRule type="cellIs" dxfId="147" priority="99" operator="greaterThan">
      <formula>0</formula>
    </cfRule>
  </conditionalFormatting>
  <conditionalFormatting sqref="J66 J68">
    <cfRule type="cellIs" dxfId="146" priority="100" operator="greaterThan">
      <formula>0</formula>
    </cfRule>
  </conditionalFormatting>
  <conditionalFormatting sqref="E62 E64">
    <cfRule type="cellIs" dxfId="145" priority="101" operator="greaterThan">
      <formula>0</formula>
    </cfRule>
  </conditionalFormatting>
  <conditionalFormatting sqref="F62 F64">
    <cfRule type="cellIs" dxfId="144" priority="102" operator="greaterThan">
      <formula>0</formula>
    </cfRule>
  </conditionalFormatting>
  <conditionalFormatting sqref="I62 I64">
    <cfRule type="cellIs" dxfId="143" priority="103" operator="greaterThan">
      <formula>0</formula>
    </cfRule>
  </conditionalFormatting>
  <conditionalFormatting sqref="J62 J64">
    <cfRule type="cellIs" dxfId="142" priority="104" operator="greaterThan">
      <formula>0</formula>
    </cfRule>
  </conditionalFormatting>
  <conditionalFormatting sqref="E55 E57:E59">
    <cfRule type="cellIs" dxfId="141" priority="105" operator="greaterThan">
      <formula>0</formula>
    </cfRule>
  </conditionalFormatting>
  <conditionalFormatting sqref="F55 F57:F59">
    <cfRule type="cellIs" dxfId="140" priority="106" operator="greaterThan">
      <formula>0</formula>
    </cfRule>
  </conditionalFormatting>
  <conditionalFormatting sqref="I55 I57:I59">
    <cfRule type="cellIs" dxfId="139" priority="107" operator="greaterThan">
      <formula>0</formula>
    </cfRule>
  </conditionalFormatting>
  <conditionalFormatting sqref="J55 J57:J59">
    <cfRule type="cellIs" dxfId="138" priority="108" operator="greaterThan">
      <formula>0</formula>
    </cfRule>
  </conditionalFormatting>
  <conditionalFormatting sqref="E17">
    <cfRule type="cellIs" dxfId="137" priority="109" operator="greaterThan">
      <formula>0</formula>
    </cfRule>
  </conditionalFormatting>
  <conditionalFormatting sqref="E19">
    <cfRule type="cellIs" dxfId="136" priority="110" operator="greaterThan">
      <formula>0</formula>
    </cfRule>
  </conditionalFormatting>
  <conditionalFormatting sqref="F25">
    <cfRule type="cellIs" dxfId="135" priority="111" operator="greaterThan">
      <formula>0</formula>
    </cfRule>
  </conditionalFormatting>
  <conditionalFormatting sqref="F29">
    <cfRule type="cellIs" dxfId="134" priority="112" operator="greaterThan">
      <formula>0</formula>
    </cfRule>
  </conditionalFormatting>
  <conditionalFormatting sqref="G29">
    <cfRule type="cellIs" dxfId="133" priority="113" operator="greaterThan">
      <formula>0</formula>
    </cfRule>
  </conditionalFormatting>
  <conditionalFormatting sqref="G34">
    <cfRule type="cellIs" dxfId="132" priority="114" operator="greaterThan">
      <formula>0</formula>
    </cfRule>
  </conditionalFormatting>
  <conditionalFormatting sqref="I34">
    <cfRule type="cellIs" dxfId="131" priority="115" operator="greaterThan">
      <formula>0</formula>
    </cfRule>
  </conditionalFormatting>
  <conditionalFormatting sqref="F34">
    <cfRule type="cellIs" dxfId="130" priority="116" operator="greaterThan">
      <formula>0</formula>
    </cfRule>
  </conditionalFormatting>
  <conditionalFormatting sqref="G36">
    <cfRule type="cellIs" dxfId="129" priority="117" operator="greaterThan">
      <formula>0</formula>
    </cfRule>
  </conditionalFormatting>
  <conditionalFormatting sqref="F36">
    <cfRule type="cellIs" dxfId="128" priority="118" operator="greaterThan">
      <formula>0</formula>
    </cfRule>
  </conditionalFormatting>
  <conditionalFormatting sqref="H38">
    <cfRule type="cellIs" dxfId="127" priority="119" operator="greaterThan">
      <formula>0</formula>
    </cfRule>
  </conditionalFormatting>
  <conditionalFormatting sqref="G38">
    <cfRule type="cellIs" dxfId="126" priority="120" operator="greaterThan">
      <formula>0</formula>
    </cfRule>
  </conditionalFormatting>
  <conditionalFormatting sqref="F38">
    <cfRule type="cellIs" dxfId="125" priority="121" operator="greaterThan">
      <formula>0</formula>
    </cfRule>
  </conditionalFormatting>
  <conditionalFormatting sqref="H40">
    <cfRule type="cellIs" dxfId="124" priority="122" operator="greaterThan">
      <formula>0</formula>
    </cfRule>
  </conditionalFormatting>
  <conditionalFormatting sqref="G40">
    <cfRule type="cellIs" dxfId="123" priority="123" operator="greaterThan">
      <formula>0</formula>
    </cfRule>
  </conditionalFormatting>
  <conditionalFormatting sqref="F40">
    <cfRule type="cellIs" dxfId="122" priority="124" operator="greaterThan">
      <formula>0</formula>
    </cfRule>
  </conditionalFormatting>
  <conditionalFormatting sqref="H42">
    <cfRule type="cellIs" dxfId="121" priority="125" operator="greaterThan">
      <formula>0</formula>
    </cfRule>
  </conditionalFormatting>
  <conditionalFormatting sqref="G42">
    <cfRule type="cellIs" dxfId="120" priority="126" operator="greaterThan">
      <formula>0</formula>
    </cfRule>
  </conditionalFormatting>
  <conditionalFormatting sqref="F42">
    <cfRule type="cellIs" dxfId="119" priority="127" operator="greaterThan">
      <formula>0</formula>
    </cfRule>
  </conditionalFormatting>
  <conditionalFormatting sqref="H44">
    <cfRule type="cellIs" dxfId="118" priority="128" operator="greaterThan">
      <formula>0</formula>
    </cfRule>
  </conditionalFormatting>
  <conditionalFormatting sqref="G44">
    <cfRule type="cellIs" dxfId="117" priority="129" operator="greaterThan">
      <formula>0</formula>
    </cfRule>
  </conditionalFormatting>
  <conditionalFormatting sqref="F44">
    <cfRule type="cellIs" dxfId="116" priority="130" operator="greaterThan">
      <formula>0</formula>
    </cfRule>
  </conditionalFormatting>
  <conditionalFormatting sqref="H47">
    <cfRule type="cellIs" dxfId="115" priority="131" operator="greaterThan">
      <formula>0</formula>
    </cfRule>
  </conditionalFormatting>
  <conditionalFormatting sqref="G47">
    <cfRule type="cellIs" dxfId="114" priority="132" operator="greaterThan">
      <formula>0</formula>
    </cfRule>
  </conditionalFormatting>
  <conditionalFormatting sqref="F47">
    <cfRule type="cellIs" dxfId="113" priority="133" operator="greaterThan">
      <formula>0</formula>
    </cfRule>
  </conditionalFormatting>
  <conditionalFormatting sqref="H49">
    <cfRule type="cellIs" dxfId="112" priority="134" operator="greaterThan">
      <formula>0</formula>
    </cfRule>
  </conditionalFormatting>
  <conditionalFormatting sqref="G49">
    <cfRule type="cellIs" dxfId="111" priority="135" operator="greaterThan">
      <formula>0</formula>
    </cfRule>
  </conditionalFormatting>
  <conditionalFormatting sqref="F49">
    <cfRule type="cellIs" dxfId="110" priority="136" operator="greaterThan">
      <formula>0</formula>
    </cfRule>
  </conditionalFormatting>
  <conditionalFormatting sqref="F51">
    <cfRule type="cellIs" dxfId="109" priority="137" operator="greaterThan">
      <formula>0</formula>
    </cfRule>
  </conditionalFormatting>
  <conditionalFormatting sqref="H51">
    <cfRule type="cellIs" dxfId="108" priority="138" operator="greaterThan">
      <formula>0</formula>
    </cfRule>
  </conditionalFormatting>
  <conditionalFormatting sqref="G51">
    <cfRule type="cellIs" dxfId="107" priority="139" operator="greaterThan">
      <formula>0</formula>
    </cfRule>
  </conditionalFormatting>
  <conditionalFormatting sqref="G53:H53">
    <cfRule type="cellIs" dxfId="106" priority="140" operator="greaterThan">
      <formula>0</formula>
    </cfRule>
  </conditionalFormatting>
  <conditionalFormatting sqref="H55">
    <cfRule type="cellIs" dxfId="105" priority="141" operator="greaterThan">
      <formula>0</formula>
    </cfRule>
  </conditionalFormatting>
  <conditionalFormatting sqref="G55">
    <cfRule type="cellIs" dxfId="104" priority="142" operator="greaterThan">
      <formula>0</formula>
    </cfRule>
  </conditionalFormatting>
  <conditionalFormatting sqref="H57 H59">
    <cfRule type="cellIs" dxfId="103" priority="143" operator="greaterThan">
      <formula>0</formula>
    </cfRule>
  </conditionalFormatting>
  <conditionalFormatting sqref="G57 G59">
    <cfRule type="cellIs" dxfId="102" priority="144" operator="greaterThan">
      <formula>0</formula>
    </cfRule>
  </conditionalFormatting>
  <conditionalFormatting sqref="H62">
    <cfRule type="cellIs" dxfId="101" priority="145" operator="greaterThan">
      <formula>0</formula>
    </cfRule>
  </conditionalFormatting>
  <conditionalFormatting sqref="G62">
    <cfRule type="cellIs" dxfId="100" priority="146" operator="greaterThan">
      <formula>0</formula>
    </cfRule>
  </conditionalFormatting>
  <conditionalFormatting sqref="H64">
    <cfRule type="cellIs" dxfId="99" priority="147" operator="greaterThan">
      <formula>0</formula>
    </cfRule>
  </conditionalFormatting>
  <conditionalFormatting sqref="G64">
    <cfRule type="cellIs" dxfId="98" priority="148" operator="greaterThan">
      <formula>0</formula>
    </cfRule>
  </conditionalFormatting>
  <conditionalFormatting sqref="H66">
    <cfRule type="cellIs" dxfId="97" priority="149" operator="greaterThan">
      <formula>0</formula>
    </cfRule>
  </conditionalFormatting>
  <conditionalFormatting sqref="G66">
    <cfRule type="cellIs" dxfId="96" priority="150" operator="greaterThan">
      <formula>0</formula>
    </cfRule>
  </conditionalFormatting>
  <conditionalFormatting sqref="I68">
    <cfRule type="cellIs" dxfId="95" priority="151" operator="greaterThan">
      <formula>0</formula>
    </cfRule>
  </conditionalFormatting>
  <conditionalFormatting sqref="H68">
    <cfRule type="cellIs" dxfId="94" priority="152" operator="greaterThan">
      <formula>0</formula>
    </cfRule>
  </conditionalFormatting>
  <conditionalFormatting sqref="I70">
    <cfRule type="cellIs" dxfId="93" priority="153" operator="greaterThan">
      <formula>0</formula>
    </cfRule>
  </conditionalFormatting>
  <conditionalFormatting sqref="H70">
    <cfRule type="cellIs" dxfId="92" priority="154" operator="greaterThan">
      <formula>0</formula>
    </cfRule>
  </conditionalFormatting>
  <conditionalFormatting sqref="I72">
    <cfRule type="cellIs" dxfId="91" priority="155" operator="greaterThan">
      <formula>0</formula>
    </cfRule>
  </conditionalFormatting>
  <conditionalFormatting sqref="H72">
    <cfRule type="cellIs" dxfId="90" priority="156" operator="greaterThan">
      <formula>0</formula>
    </cfRule>
  </conditionalFormatting>
  <conditionalFormatting sqref="I74">
    <cfRule type="cellIs" dxfId="89" priority="157" operator="greaterThan">
      <formula>0</formula>
    </cfRule>
  </conditionalFormatting>
  <conditionalFormatting sqref="H74">
    <cfRule type="cellIs" dxfId="88" priority="158" operator="greaterThan">
      <formula>0</formula>
    </cfRule>
  </conditionalFormatting>
  <conditionalFormatting sqref="I76">
    <cfRule type="cellIs" dxfId="87" priority="159" operator="greaterThan">
      <formula>0</formula>
    </cfRule>
  </conditionalFormatting>
  <conditionalFormatting sqref="H76">
    <cfRule type="cellIs" dxfId="86" priority="160" operator="greaterThan">
      <formula>0</formula>
    </cfRule>
  </conditionalFormatting>
  <conditionalFormatting sqref="I78">
    <cfRule type="cellIs" dxfId="85" priority="161" operator="greaterThan">
      <formula>0</formula>
    </cfRule>
  </conditionalFormatting>
  <conditionalFormatting sqref="H78">
    <cfRule type="cellIs" dxfId="84" priority="162" operator="greaterThan">
      <formula>0</formula>
    </cfRule>
  </conditionalFormatting>
  <conditionalFormatting sqref="I80">
    <cfRule type="cellIs" dxfId="83" priority="163" operator="greaterThan">
      <formula>0</formula>
    </cfRule>
  </conditionalFormatting>
  <conditionalFormatting sqref="H80">
    <cfRule type="cellIs" dxfId="82" priority="164" operator="greaterThan">
      <formula>0</formula>
    </cfRule>
  </conditionalFormatting>
  <conditionalFormatting sqref="I82">
    <cfRule type="cellIs" dxfId="81" priority="165" operator="greaterThan">
      <formula>0</formula>
    </cfRule>
  </conditionalFormatting>
  <conditionalFormatting sqref="H82">
    <cfRule type="cellIs" dxfId="80" priority="166" operator="greaterThan">
      <formula>0</formula>
    </cfRule>
  </conditionalFormatting>
  <conditionalFormatting sqref="I84">
    <cfRule type="cellIs" dxfId="79" priority="167" operator="greaterThan">
      <formula>0</formula>
    </cfRule>
  </conditionalFormatting>
  <conditionalFormatting sqref="H84">
    <cfRule type="cellIs" dxfId="78" priority="168" operator="greaterThan">
      <formula>0</formula>
    </cfRule>
  </conditionalFormatting>
  <conditionalFormatting sqref="I86">
    <cfRule type="cellIs" dxfId="77" priority="169" operator="greaterThan">
      <formula>0</formula>
    </cfRule>
  </conditionalFormatting>
  <conditionalFormatting sqref="H86">
    <cfRule type="cellIs" dxfId="76" priority="170" operator="greaterThan">
      <formula>0</formula>
    </cfRule>
  </conditionalFormatting>
  <conditionalFormatting sqref="I88">
    <cfRule type="cellIs" dxfId="75" priority="171" operator="greaterThan">
      <formula>0</formula>
    </cfRule>
  </conditionalFormatting>
  <conditionalFormatting sqref="H88">
    <cfRule type="cellIs" dxfId="74" priority="172" operator="greaterThan">
      <formula>0</formula>
    </cfRule>
  </conditionalFormatting>
  <conditionalFormatting sqref="I90">
    <cfRule type="cellIs" dxfId="73" priority="173" operator="greaterThan">
      <formula>0</formula>
    </cfRule>
  </conditionalFormatting>
  <conditionalFormatting sqref="H90">
    <cfRule type="cellIs" dxfId="72" priority="174" operator="greaterThan">
      <formula>0</formula>
    </cfRule>
  </conditionalFormatting>
  <conditionalFormatting sqref="I92">
    <cfRule type="cellIs" dxfId="71" priority="175" operator="greaterThan">
      <formula>0</formula>
    </cfRule>
  </conditionalFormatting>
  <conditionalFormatting sqref="H92">
    <cfRule type="cellIs" dxfId="70" priority="176" operator="greaterThan">
      <formula>0</formula>
    </cfRule>
  </conditionalFormatting>
  <conditionalFormatting sqref="I95">
    <cfRule type="cellIs" dxfId="69" priority="177" operator="greaterThan">
      <formula>0</formula>
    </cfRule>
  </conditionalFormatting>
  <conditionalFormatting sqref="H95">
    <cfRule type="cellIs" dxfId="68" priority="178" operator="greaterThan">
      <formula>0</formula>
    </cfRule>
  </conditionalFormatting>
  <conditionalFormatting sqref="I97">
    <cfRule type="cellIs" dxfId="67" priority="179" operator="greaterThan">
      <formula>0</formula>
    </cfRule>
  </conditionalFormatting>
  <conditionalFormatting sqref="H97">
    <cfRule type="cellIs" dxfId="66" priority="180" operator="greaterThan">
      <formula>0</formula>
    </cfRule>
  </conditionalFormatting>
  <conditionalFormatting sqref="I99">
    <cfRule type="cellIs" dxfId="65" priority="181" operator="greaterThan">
      <formula>0</formula>
    </cfRule>
  </conditionalFormatting>
  <conditionalFormatting sqref="H99">
    <cfRule type="cellIs" dxfId="64" priority="182" operator="greaterThan">
      <formula>0</formula>
    </cfRule>
  </conditionalFormatting>
  <conditionalFormatting sqref="I101">
    <cfRule type="cellIs" dxfId="63" priority="183" operator="greaterThan">
      <formula>0</formula>
    </cfRule>
  </conditionalFormatting>
  <conditionalFormatting sqref="H101">
    <cfRule type="cellIs" dxfId="62" priority="184" operator="greaterThan">
      <formula>0</formula>
    </cfRule>
  </conditionalFormatting>
  <conditionalFormatting sqref="I103">
    <cfRule type="cellIs" dxfId="61" priority="185" operator="greaterThan">
      <formula>0</formula>
    </cfRule>
  </conditionalFormatting>
  <conditionalFormatting sqref="H103">
    <cfRule type="cellIs" dxfId="60" priority="186" operator="greaterThan">
      <formula>0</formula>
    </cfRule>
  </conditionalFormatting>
  <conditionalFormatting sqref="I105">
    <cfRule type="cellIs" dxfId="59" priority="187" operator="greaterThan">
      <formula>0</formula>
    </cfRule>
  </conditionalFormatting>
  <conditionalFormatting sqref="H105">
    <cfRule type="cellIs" dxfId="58" priority="188" operator="greaterThan">
      <formula>0</formula>
    </cfRule>
  </conditionalFormatting>
  <conditionalFormatting sqref="G68">
    <cfRule type="cellIs" dxfId="57" priority="189" operator="greaterThan">
      <formula>0</formula>
    </cfRule>
  </conditionalFormatting>
  <conditionalFormatting sqref="G70">
    <cfRule type="cellIs" dxfId="56" priority="190" operator="greaterThan">
      <formula>0</formula>
    </cfRule>
  </conditionalFormatting>
  <conditionalFormatting sqref="G72">
    <cfRule type="cellIs" dxfId="55" priority="191" operator="greaterThan">
      <formula>0</formula>
    </cfRule>
  </conditionalFormatting>
  <conditionalFormatting sqref="G74">
    <cfRule type="cellIs" dxfId="54" priority="192" operator="greaterThan">
      <formula>0</formula>
    </cfRule>
  </conditionalFormatting>
  <conditionalFormatting sqref="G76">
    <cfRule type="cellIs" dxfId="53" priority="193" operator="greaterThan">
      <formula>0</formula>
    </cfRule>
  </conditionalFormatting>
  <conditionalFormatting sqref="G78">
    <cfRule type="cellIs" dxfId="52" priority="194" operator="greaterThan">
      <formula>0</formula>
    </cfRule>
  </conditionalFormatting>
  <conditionalFormatting sqref="G80">
    <cfRule type="cellIs" dxfId="51" priority="195" operator="greaterThan">
      <formula>0</formula>
    </cfRule>
  </conditionalFormatting>
  <conditionalFormatting sqref="G82">
    <cfRule type="cellIs" dxfId="50" priority="196" operator="greaterThan">
      <formula>0</formula>
    </cfRule>
  </conditionalFormatting>
  <conditionalFormatting sqref="G84">
    <cfRule type="cellIs" dxfId="49" priority="197" operator="greaterThan">
      <formula>0</formula>
    </cfRule>
  </conditionalFormatting>
  <conditionalFormatting sqref="G86">
    <cfRule type="cellIs" dxfId="48" priority="198" operator="greaterThan">
      <formula>0</formula>
    </cfRule>
  </conditionalFormatting>
  <conditionalFormatting sqref="G88">
    <cfRule type="cellIs" dxfId="47" priority="199" operator="greaterThan">
      <formula>0</formula>
    </cfRule>
  </conditionalFormatting>
  <conditionalFormatting sqref="G90">
    <cfRule type="cellIs" dxfId="46" priority="200" operator="greaterThan">
      <formula>0</formula>
    </cfRule>
  </conditionalFormatting>
  <conditionalFormatting sqref="G92">
    <cfRule type="cellIs" dxfId="45" priority="201" operator="greaterThan">
      <formula>0</formula>
    </cfRule>
  </conditionalFormatting>
  <conditionalFormatting sqref="G95">
    <cfRule type="cellIs" dxfId="44" priority="202" operator="greaterThan">
      <formula>0</formula>
    </cfRule>
  </conditionalFormatting>
  <conditionalFormatting sqref="G97">
    <cfRule type="cellIs" dxfId="43" priority="203" operator="greaterThan">
      <formula>0</formula>
    </cfRule>
  </conditionalFormatting>
  <conditionalFormatting sqref="G99">
    <cfRule type="cellIs" dxfId="42" priority="204" operator="greaterThan">
      <formula>0</formula>
    </cfRule>
  </conditionalFormatting>
  <conditionalFormatting sqref="G101">
    <cfRule type="cellIs" dxfId="41" priority="205" operator="greaterThan">
      <formula>0</formula>
    </cfRule>
  </conditionalFormatting>
  <conditionalFormatting sqref="G103">
    <cfRule type="cellIs" dxfId="40" priority="206" operator="greaterThan">
      <formula>0</formula>
    </cfRule>
  </conditionalFormatting>
  <conditionalFormatting sqref="G105">
    <cfRule type="cellIs" dxfId="39" priority="207" operator="greaterThan">
      <formula>0</formula>
    </cfRule>
  </conditionalFormatting>
  <conditionalFormatting sqref="J107">
    <cfRule type="cellIs" dxfId="38" priority="208" operator="greaterThan">
      <formula>0</formula>
    </cfRule>
  </conditionalFormatting>
  <conditionalFormatting sqref="I107">
    <cfRule type="cellIs" dxfId="37" priority="209" operator="greaterThan">
      <formula>0</formula>
    </cfRule>
  </conditionalFormatting>
  <conditionalFormatting sqref="J109">
    <cfRule type="cellIs" dxfId="36" priority="210" operator="greaterThan">
      <formula>0</formula>
    </cfRule>
  </conditionalFormatting>
  <conditionalFormatting sqref="I109">
    <cfRule type="cellIs" dxfId="35" priority="211" operator="greaterThan">
      <formula>0</formula>
    </cfRule>
  </conditionalFormatting>
  <conditionalFormatting sqref="J111">
    <cfRule type="cellIs" dxfId="34" priority="212" operator="greaterThan">
      <formula>0</formula>
    </cfRule>
  </conditionalFormatting>
  <conditionalFormatting sqref="I111">
    <cfRule type="cellIs" dxfId="33" priority="213" operator="greaterThan">
      <formula>0</formula>
    </cfRule>
  </conditionalFormatting>
  <conditionalFormatting sqref="J113">
    <cfRule type="cellIs" dxfId="32" priority="214" operator="greaterThan">
      <formula>0</formula>
    </cfRule>
  </conditionalFormatting>
  <conditionalFormatting sqref="I113">
    <cfRule type="cellIs" dxfId="31" priority="215" operator="greaterThan">
      <formula>0</formula>
    </cfRule>
  </conditionalFormatting>
  <conditionalFormatting sqref="J115">
    <cfRule type="cellIs" dxfId="30" priority="216" operator="greaterThan">
      <formula>0</formula>
    </cfRule>
  </conditionalFormatting>
  <conditionalFormatting sqref="I115">
    <cfRule type="cellIs" dxfId="29" priority="217" operator="greaterThan">
      <formula>0</formula>
    </cfRule>
  </conditionalFormatting>
  <conditionalFormatting sqref="J117">
    <cfRule type="cellIs" dxfId="28" priority="218" operator="greaterThan">
      <formula>0</formula>
    </cfRule>
  </conditionalFormatting>
  <conditionalFormatting sqref="I117">
    <cfRule type="cellIs" dxfId="27" priority="219" operator="greaterThan">
      <formula>0</formula>
    </cfRule>
  </conditionalFormatting>
  <conditionalFormatting sqref="H107">
    <cfRule type="cellIs" dxfId="26" priority="220" operator="greaterThan">
      <formula>0</formula>
    </cfRule>
  </conditionalFormatting>
  <conditionalFormatting sqref="H109">
    <cfRule type="cellIs" dxfId="25" priority="221" operator="greaterThan">
      <formula>0</formula>
    </cfRule>
  </conditionalFormatting>
  <conditionalFormatting sqref="H111">
    <cfRule type="cellIs" dxfId="24" priority="222" operator="greaterThan">
      <formula>0</formula>
    </cfRule>
  </conditionalFormatting>
  <conditionalFormatting sqref="H113">
    <cfRule type="cellIs" dxfId="23" priority="223" operator="greaterThan">
      <formula>0</formula>
    </cfRule>
  </conditionalFormatting>
  <conditionalFormatting sqref="H115">
    <cfRule type="cellIs" dxfId="22" priority="224" operator="greaterThan">
      <formula>0</formula>
    </cfRule>
  </conditionalFormatting>
  <conditionalFormatting sqref="H117">
    <cfRule type="cellIs" dxfId="21" priority="225" operator="greaterThan">
      <formula>0</formula>
    </cfRule>
  </conditionalFormatting>
  <conditionalFormatting sqref="J119">
    <cfRule type="cellIs" dxfId="20" priority="226" operator="greaterThan">
      <formula>0</formula>
    </cfRule>
  </conditionalFormatting>
  <conditionalFormatting sqref="I119">
    <cfRule type="cellIs" dxfId="19" priority="227" operator="greaterThan">
      <formula>0</formula>
    </cfRule>
  </conditionalFormatting>
  <conditionalFormatting sqref="J121">
    <cfRule type="cellIs" dxfId="18" priority="228" operator="greaterThan">
      <formula>0</formula>
    </cfRule>
  </conditionalFormatting>
  <conditionalFormatting sqref="I121">
    <cfRule type="cellIs" dxfId="17" priority="229" operator="greaterThan">
      <formula>0</formula>
    </cfRule>
  </conditionalFormatting>
  <conditionalFormatting sqref="J123">
    <cfRule type="cellIs" dxfId="16" priority="230" operator="greaterThan">
      <formula>0</formula>
    </cfRule>
  </conditionalFormatting>
  <conditionalFormatting sqref="I123">
    <cfRule type="cellIs" dxfId="15" priority="231" operator="greaterThan">
      <formula>0</formula>
    </cfRule>
  </conditionalFormatting>
  <conditionalFormatting sqref="H119">
    <cfRule type="cellIs" dxfId="14" priority="232" operator="greaterThan">
      <formula>0</formula>
    </cfRule>
  </conditionalFormatting>
  <conditionalFormatting sqref="H121">
    <cfRule type="cellIs" dxfId="13" priority="233" operator="greaterThan">
      <formula>0</formula>
    </cfRule>
  </conditionalFormatting>
  <conditionalFormatting sqref="H123">
    <cfRule type="cellIs" dxfId="12" priority="234" operator="greaterThan">
      <formula>0</formula>
    </cfRule>
  </conditionalFormatting>
  <conditionalFormatting sqref="J125">
    <cfRule type="cellIs" dxfId="11" priority="235" operator="greaterThan">
      <formula>0</formula>
    </cfRule>
  </conditionalFormatting>
  <conditionalFormatting sqref="I125">
    <cfRule type="cellIs" dxfId="10" priority="236" operator="greaterThan">
      <formula>0</formula>
    </cfRule>
  </conditionalFormatting>
  <conditionalFormatting sqref="J127">
    <cfRule type="cellIs" dxfId="9" priority="237" operator="greaterThan">
      <formula>0</formula>
    </cfRule>
  </conditionalFormatting>
  <conditionalFormatting sqref="I127">
    <cfRule type="cellIs" dxfId="8" priority="238" operator="greaterThan">
      <formula>0</formula>
    </cfRule>
  </conditionalFormatting>
  <conditionalFormatting sqref="J129">
    <cfRule type="cellIs" dxfId="7" priority="239" operator="greaterThan">
      <formula>0</formula>
    </cfRule>
  </conditionalFormatting>
  <conditionalFormatting sqref="I129">
    <cfRule type="cellIs" dxfId="6" priority="240" operator="greaterThan">
      <formula>0</formula>
    </cfRule>
  </conditionalFormatting>
  <conditionalFormatting sqref="H125">
    <cfRule type="cellIs" dxfId="5" priority="241" operator="greaterThan">
      <formula>0</formula>
    </cfRule>
  </conditionalFormatting>
  <conditionalFormatting sqref="H127">
    <cfRule type="cellIs" dxfId="4" priority="242" operator="greaterThan">
      <formula>0</formula>
    </cfRule>
  </conditionalFormatting>
  <conditionalFormatting sqref="H129">
    <cfRule type="cellIs" dxfId="3" priority="243" operator="greaterThan">
      <formula>0</formula>
    </cfRule>
  </conditionalFormatting>
  <conditionalFormatting sqref="J131">
    <cfRule type="cellIs" dxfId="2" priority="244" operator="greaterThan">
      <formula>0</formula>
    </cfRule>
  </conditionalFormatting>
  <conditionalFormatting sqref="I131">
    <cfRule type="cellIs" dxfId="1" priority="245" operator="greaterThan">
      <formula>0</formula>
    </cfRule>
  </conditionalFormatting>
  <conditionalFormatting sqref="H131">
    <cfRule type="cellIs" dxfId="0" priority="246" operator="greaterThan">
      <formula>0</formula>
    </cfRule>
  </conditionalFormatting>
  <pageMargins left="0.7" right="0.7" top="0.75" bottom="0.75" header="0" footer="0"/>
  <pageSetup paperSize="9" orientation="portrait"/>
  <rowBreaks count="1" manualBreakCount="1">
    <brk id="11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Capa</vt:lpstr>
      <vt:lpstr>BDI</vt:lpstr>
      <vt:lpstr>Sintetico</vt:lpstr>
      <vt:lpstr>Composição de Custos </vt:lpstr>
      <vt:lpstr>Resumo</vt:lpstr>
      <vt:lpstr>Cronograma</vt:lpstr>
      <vt:lpstr>Sintetico!Excel_BuiltIn_Print_Titles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Marcielly Parreira Leonardo</dc:creator>
  <cp:lastModifiedBy>Lidiard Nunes de Oliveira</cp:lastModifiedBy>
  <dcterms:created xsi:type="dcterms:W3CDTF">2015-07-06T18:24:45Z</dcterms:created>
  <dcterms:modified xsi:type="dcterms:W3CDTF">2019-11-21T12:02:30Z</dcterms:modified>
</cp:coreProperties>
</file>